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45" yWindow="-90" windowWidth="14910" windowHeight="6735" tabRatio="729"/>
  </bookViews>
  <sheets>
    <sheet name="WZÓR  KSZTORYSU  OFERTOWEGO " sheetId="39" r:id="rId1"/>
    <sheet name="TABELA  ELEMENTÓW SCALONYCH" sheetId="38" r:id="rId2"/>
  </sheets>
  <calcPr calcId="145621"/>
</workbook>
</file>

<file path=xl/calcChain.xml><?xml version="1.0" encoding="utf-8"?>
<calcChain xmlns="http://schemas.openxmlformats.org/spreadsheetml/2006/main">
  <c r="G293" i="39" l="1"/>
  <c r="G295" i="39" s="1"/>
  <c r="E289" i="39"/>
  <c r="G289" i="39" s="1"/>
  <c r="G287" i="39"/>
  <c r="G285" i="39"/>
  <c r="E285" i="39"/>
  <c r="G283" i="39"/>
  <c r="E283" i="39"/>
  <c r="G273" i="39"/>
  <c r="E273" i="39"/>
  <c r="G269" i="39"/>
  <c r="G266" i="39"/>
  <c r="E264" i="39"/>
  <c r="G264" i="39" s="1"/>
  <c r="E262" i="39"/>
  <c r="G262" i="39" s="1"/>
  <c r="E258" i="39"/>
  <c r="G258" i="39" s="1"/>
  <c r="C256" i="39"/>
  <c r="E253" i="39"/>
  <c r="G253" i="39" s="1"/>
  <c r="E249" i="39"/>
  <c r="G249" i="39" s="1"/>
  <c r="E247" i="39"/>
  <c r="G247" i="39" s="1"/>
  <c r="G245" i="39"/>
  <c r="G243" i="39"/>
  <c r="G241" i="39"/>
  <c r="G239" i="39"/>
  <c r="E237" i="39"/>
  <c r="G237" i="39" s="1"/>
  <c r="E235" i="39"/>
  <c r="E278" i="39" s="1"/>
  <c r="E233" i="39"/>
  <c r="G233" i="39" s="1"/>
  <c r="E231" i="39"/>
  <c r="G231" i="39" s="1"/>
  <c r="G229" i="39"/>
  <c r="E227" i="39"/>
  <c r="G227" i="39" s="1"/>
  <c r="E225" i="39"/>
  <c r="G225" i="39" s="1"/>
  <c r="E223" i="39"/>
  <c r="G223" i="39" s="1"/>
  <c r="E221" i="39"/>
  <c r="G221" i="39" s="1"/>
  <c r="B221" i="39"/>
  <c r="B223" i="39" s="1"/>
  <c r="G219" i="39"/>
  <c r="E218" i="39"/>
  <c r="G218" i="39" s="1"/>
  <c r="G208" i="39"/>
  <c r="G206" i="39"/>
  <c r="G202" i="39"/>
  <c r="E202" i="39"/>
  <c r="E200" i="39"/>
  <c r="G200" i="39" s="1"/>
  <c r="E196" i="39"/>
  <c r="G196" i="39" s="1"/>
  <c r="G198" i="39" s="1"/>
  <c r="E192" i="39"/>
  <c r="E190" i="39"/>
  <c r="G190" i="39" s="1"/>
  <c r="E188" i="39"/>
  <c r="G188" i="39" s="1"/>
  <c r="G186" i="39"/>
  <c r="E186" i="39"/>
  <c r="E183" i="39"/>
  <c r="G183" i="39" s="1"/>
  <c r="E181" i="39"/>
  <c r="G181" i="39" s="1"/>
  <c r="E177" i="39"/>
  <c r="G177" i="39" s="1"/>
  <c r="E175" i="39"/>
  <c r="G175" i="39" s="1"/>
  <c r="E173" i="39"/>
  <c r="G173" i="39" s="1"/>
  <c r="G171" i="39"/>
  <c r="E169" i="39"/>
  <c r="G169" i="39" s="1"/>
  <c r="E167" i="39"/>
  <c r="G167" i="39" s="1"/>
  <c r="G165" i="39"/>
  <c r="B165" i="39"/>
  <c r="B167" i="39" s="1"/>
  <c r="B169" i="39" s="1"/>
  <c r="B171" i="39" s="1"/>
  <c r="G163" i="39"/>
  <c r="E162" i="39"/>
  <c r="G162" i="39" s="1"/>
  <c r="G150" i="39"/>
  <c r="G148" i="39"/>
  <c r="E146" i="39"/>
  <c r="G146" i="39" s="1"/>
  <c r="E144" i="39"/>
  <c r="G144" i="39" s="1"/>
  <c r="E140" i="39"/>
  <c r="G140" i="39" s="1"/>
  <c r="E138" i="39"/>
  <c r="G138" i="39" s="1"/>
  <c r="G136" i="39"/>
  <c r="E134" i="39"/>
  <c r="G134" i="39" s="1"/>
  <c r="E129" i="39"/>
  <c r="G129" i="39" s="1"/>
  <c r="E126" i="39"/>
  <c r="G126" i="39" s="1"/>
  <c r="E123" i="39"/>
  <c r="G123" i="39" s="1"/>
  <c r="G122" i="39"/>
  <c r="G120" i="39"/>
  <c r="E120" i="39"/>
  <c r="E117" i="39"/>
  <c r="G117" i="39" s="1"/>
  <c r="G114" i="39"/>
  <c r="G108" i="39"/>
  <c r="E106" i="39"/>
  <c r="G106" i="39" s="1"/>
  <c r="E100" i="39"/>
  <c r="C94" i="39"/>
  <c r="E93" i="39"/>
  <c r="G93" i="39" s="1"/>
  <c r="E91" i="39"/>
  <c r="G91" i="39" s="1"/>
  <c r="A89" i="39"/>
  <c r="G85" i="39"/>
  <c r="G83" i="39"/>
  <c r="E81" i="39"/>
  <c r="G81" i="39" s="1"/>
  <c r="G79" i="39"/>
  <c r="E79" i="39"/>
  <c r="G77" i="39"/>
  <c r="G75" i="39"/>
  <c r="G73" i="39"/>
  <c r="G71" i="39"/>
  <c r="G69" i="39"/>
  <c r="E65" i="39"/>
  <c r="G65" i="39" s="1"/>
  <c r="E63" i="39"/>
  <c r="G63" i="39" s="1"/>
  <c r="G61" i="39"/>
  <c r="G59" i="39"/>
  <c r="G57" i="39"/>
  <c r="G55" i="39"/>
  <c r="E55" i="39"/>
  <c r="E53" i="39"/>
  <c r="G53" i="39" s="1"/>
  <c r="E51" i="39"/>
  <c r="G51" i="39" s="1"/>
  <c r="G49" i="39"/>
  <c r="G47" i="39"/>
  <c r="G45" i="39"/>
  <c r="E43" i="39"/>
  <c r="G43" i="39" s="1"/>
  <c r="E41" i="39"/>
  <c r="G41" i="39" s="1"/>
  <c r="E37" i="39"/>
  <c r="G37" i="39" s="1"/>
  <c r="E35" i="39"/>
  <c r="G35" i="39" s="1"/>
  <c r="E33" i="39"/>
  <c r="G33" i="39" s="1"/>
  <c r="E31" i="39"/>
  <c r="G31" i="39" s="1"/>
  <c r="G29" i="39"/>
  <c r="G27" i="39"/>
  <c r="E25" i="39"/>
  <c r="G25" i="39" s="1"/>
  <c r="G23" i="39"/>
  <c r="G21" i="39"/>
  <c r="E19" i="39"/>
  <c r="G19" i="39" s="1"/>
  <c r="E17" i="39"/>
  <c r="G17" i="39" s="1"/>
  <c r="G15" i="39"/>
  <c r="E15" i="39"/>
  <c r="G13" i="39"/>
  <c r="E11" i="39"/>
  <c r="G11" i="39" s="1"/>
  <c r="G9" i="39"/>
  <c r="E9" i="39"/>
  <c r="B9" i="39"/>
  <c r="B13" i="39" s="1"/>
  <c r="G7" i="39"/>
  <c r="G6" i="39"/>
  <c r="D28" i="38"/>
  <c r="D18" i="38"/>
  <c r="D8" i="38"/>
  <c r="E39" i="39" l="1"/>
  <c r="E89" i="39" s="1"/>
  <c r="G89" i="39" s="1"/>
  <c r="G119" i="39"/>
  <c r="G128" i="39"/>
  <c r="G131" i="39"/>
  <c r="G204" i="39"/>
  <c r="G192" i="39"/>
  <c r="G194" i="39" s="1"/>
  <c r="G179" i="39"/>
  <c r="G152" i="39"/>
  <c r="G142" i="39"/>
  <c r="G100" i="39"/>
  <c r="G87" i="39"/>
  <c r="B15" i="39"/>
  <c r="B17" i="39" s="1"/>
  <c r="B37" i="39"/>
  <c r="B235" i="39"/>
  <c r="B237" i="39" s="1"/>
  <c r="B239" i="39" s="1"/>
  <c r="B241" i="39" s="1"/>
  <c r="B225" i="39"/>
  <c r="B227" i="39" s="1"/>
  <c r="B229" i="39" s="1"/>
  <c r="B231" i="39" s="1"/>
  <c r="B233" i="39" s="1"/>
  <c r="G278" i="39"/>
  <c r="G280" i="39"/>
  <c r="G291" i="39"/>
  <c r="B175" i="39"/>
  <c r="B177" i="39" s="1"/>
  <c r="B181" i="39" s="1"/>
  <c r="B183" i="39" s="1"/>
  <c r="B186" i="39" s="1"/>
  <c r="B173" i="39"/>
  <c r="B11" i="39"/>
  <c r="G235" i="39"/>
  <c r="G251" i="39" s="1"/>
  <c r="E255" i="39"/>
  <c r="E103" i="39"/>
  <c r="G103" i="39" s="1"/>
  <c r="E96" i="39"/>
  <c r="G39" i="39"/>
  <c r="G67" i="39" s="1"/>
  <c r="D34" i="38"/>
  <c r="D20" i="38"/>
  <c r="D19" i="38"/>
  <c r="D33" i="38"/>
  <c r="D10" i="38"/>
  <c r="D9" i="38"/>
  <c r="D30" i="38"/>
  <c r="D35" i="38"/>
  <c r="D29" i="38"/>
  <c r="G209" i="39" l="1"/>
  <c r="F302" i="39" s="1"/>
  <c r="G211" i="39"/>
  <c r="B245" i="39"/>
  <c r="B243" i="39"/>
  <c r="B25" i="39"/>
  <c r="B19" i="39"/>
  <c r="G255" i="39"/>
  <c r="E260" i="39"/>
  <c r="B117" i="39"/>
  <c r="B120" i="39" s="1"/>
  <c r="B123" i="39" s="1"/>
  <c r="B126" i="39" s="1"/>
  <c r="B129" i="39" s="1"/>
  <c r="B134" i="39" s="1"/>
  <c r="B136" i="39" s="1"/>
  <c r="B39" i="39"/>
  <c r="B41" i="39" s="1"/>
  <c r="E98" i="39"/>
  <c r="G96" i="39"/>
  <c r="B188" i="39"/>
  <c r="B192" i="39" s="1"/>
  <c r="B196" i="39" s="1"/>
  <c r="B200" i="39" s="1"/>
  <c r="B202" i="39" s="1"/>
  <c r="B206" i="39" s="1"/>
  <c r="B190" i="39"/>
  <c r="I38" i="38"/>
  <c r="D36" i="38"/>
  <c r="G210" i="39" l="1"/>
  <c r="G260" i="39"/>
  <c r="G271" i="39" s="1"/>
  <c r="E275" i="39"/>
  <c r="G275" i="39" s="1"/>
  <c r="G281" i="39" s="1"/>
  <c r="B249" i="39"/>
  <c r="B253" i="39" s="1"/>
  <c r="B255" i="39" s="1"/>
  <c r="B258" i="39" s="1"/>
  <c r="B247" i="39"/>
  <c r="B21" i="39"/>
  <c r="B23" i="39" s="1"/>
  <c r="B47" i="39" s="1"/>
  <c r="B43" i="39"/>
  <c r="B45" i="39" s="1"/>
  <c r="B53" i="39"/>
  <c r="B55" i="39" s="1"/>
  <c r="B57" i="39" s="1"/>
  <c r="G98" i="39"/>
  <c r="G110" i="39" s="1"/>
  <c r="E112" i="39"/>
  <c r="G112" i="39" s="1"/>
  <c r="G132" i="39" s="1"/>
  <c r="B150" i="39"/>
  <c r="B140" i="39"/>
  <c r="B144" i="39" s="1"/>
  <c r="B146" i="39" s="1"/>
  <c r="B148" i="39" s="1"/>
  <c r="B138" i="39"/>
  <c r="B49" i="39"/>
  <c r="B27" i="39"/>
  <c r="B31" i="39"/>
  <c r="D37" i="38"/>
  <c r="D38" i="38" s="1"/>
  <c r="G153" i="39" l="1"/>
  <c r="G296" i="39"/>
  <c r="B65" i="39"/>
  <c r="B69" i="39" s="1"/>
  <c r="B71" i="39" s="1"/>
  <c r="B73" i="39" s="1"/>
  <c r="B75" i="39" s="1"/>
  <c r="B77" i="39" s="1"/>
  <c r="B79" i="39" s="1"/>
  <c r="B81" i="39" s="1"/>
  <c r="B83" i="39" s="1"/>
  <c r="B85" i="39" s="1"/>
  <c r="B89" i="39" s="1"/>
  <c r="B33" i="39"/>
  <c r="B35" i="39" s="1"/>
  <c r="B59" i="39" s="1"/>
  <c r="B61" i="39"/>
  <c r="B51" i="39"/>
  <c r="B29" i="39"/>
  <c r="B262" i="39"/>
  <c r="B266" i="39" s="1"/>
  <c r="B269" i="39" s="1"/>
  <c r="B260" i="39"/>
  <c r="B264" i="39" s="1"/>
  <c r="B278" i="39" l="1"/>
  <c r="B283" i="39" s="1"/>
  <c r="B285" i="39" s="1"/>
  <c r="B273" i="39"/>
  <c r="B275" i="39" s="1"/>
  <c r="G154" i="39"/>
  <c r="G155" i="39"/>
  <c r="F301" i="39"/>
  <c r="F303" i="39"/>
  <c r="G298" i="39"/>
  <c r="G304" i="39"/>
  <c r="G297" i="39"/>
  <c r="B63" i="39"/>
  <c r="B93" i="39"/>
  <c r="F304" i="39" l="1"/>
  <c r="F306" i="39" s="1"/>
  <c r="G305" i="39"/>
  <c r="G306" i="39"/>
  <c r="B287" i="39"/>
  <c r="B293" i="39"/>
  <c r="B289" i="39"/>
  <c r="B96" i="39"/>
  <c r="B98" i="39" s="1"/>
  <c r="B91" i="39"/>
  <c r="F305" i="39" l="1"/>
  <c r="B106" i="39"/>
  <c r="B100" i="39"/>
  <c r="B108" i="39" l="1"/>
  <c r="B112" i="39" s="1"/>
  <c r="B114" i="39" s="1"/>
  <c r="B103" i="39"/>
</calcChain>
</file>

<file path=xl/sharedStrings.xml><?xml version="1.0" encoding="utf-8"?>
<sst xmlns="http://schemas.openxmlformats.org/spreadsheetml/2006/main" count="477" uniqueCount="285">
  <si>
    <t xml:space="preserve">RAZEM  OZNAKOWANIE DRÓG I URZADZENIA BEZPIECZEŃSTWA RUCHU </t>
  </si>
  <si>
    <t xml:space="preserve">RAZEM  ELEMENTY  ULIC </t>
  </si>
  <si>
    <t>l.p</t>
  </si>
  <si>
    <t>Podstawa opracowania 
Kod pozycji CPV
Nr specyfikacji technicz.
SST</t>
  </si>
  <si>
    <t>Opis pozycji przedmiarowej</t>
  </si>
  <si>
    <t>Jed.</t>
  </si>
  <si>
    <t>Obmiar</t>
  </si>
  <si>
    <t>Cena
 jedn.</t>
  </si>
  <si>
    <t xml:space="preserve">Wartość robót </t>
  </si>
  <si>
    <t xml:space="preserve">RAZEM   PODBUDOWY </t>
  </si>
  <si>
    <t>m</t>
  </si>
  <si>
    <t>szt</t>
  </si>
  <si>
    <t>PODATEK VAT 23 %</t>
  </si>
  <si>
    <t xml:space="preserve">słownie </t>
  </si>
  <si>
    <t>km</t>
  </si>
  <si>
    <t>Mg</t>
  </si>
  <si>
    <t xml:space="preserve">RYCZAŁT </t>
  </si>
  <si>
    <t xml:space="preserve">Zabezpieczenie istniejących drzew ( deska okalająca  korę na wysokość 150 cm ) </t>
  </si>
  <si>
    <t>Odbudowa oznakowania poziomego )( słupki Hm)</t>
  </si>
  <si>
    <t xml:space="preserve">RAZEM  ELEMENTY  NAWIERZCHNIE </t>
  </si>
  <si>
    <t xml:space="preserve">Wizja w terenie 
Projekt </t>
  </si>
  <si>
    <t xml:space="preserve">Rozebranie chodnika z  płytek betonowych 35x35 cm ( 50x50 cm )  na podsypce piaskowej wraz z ich utylizacją i wywozem na odległość do 15 km </t>
  </si>
  <si>
    <t xml:space="preserve">n=1 </t>
  </si>
  <si>
    <t>rycz.</t>
  </si>
  <si>
    <t xml:space="preserve">Rozebranie  obrzeży i oporników betonowych  betonowych   posadowionych na ławie gruzobetonowej  wraz z rozbiórką ławy i  wywozemna odl. do 15 km .  W  cenie jednostkowej należy przewidzieć  utylizację materiału. </t>
  </si>
  <si>
    <r>
      <t>m</t>
    </r>
    <r>
      <rPr>
        <vertAlign val="superscript"/>
        <sz val="14"/>
        <rFont val="Arial"/>
        <family val="2"/>
        <charset val="238"/>
      </rPr>
      <t>2</t>
    </r>
  </si>
  <si>
    <t xml:space="preserve">Karczowanie  z rowu krzewów i poszycia  do 3000 szt/ha </t>
  </si>
  <si>
    <t xml:space="preserve">ha </t>
  </si>
  <si>
    <t xml:space="preserve">Odtworzenie kształtu rowu po oczyszczeniu z krzewow  wraz ze zdjęciem nadmiaru namułu wraz z wbudownim materiału w przeciwskarpę rowu. Nadmiar materiału do wywozu na odległośc do 15 km . W cene jednostkowej należy ująć jego utylizację. </t>
  </si>
  <si>
    <t>Korytowanie wraz z profilowaniem  pod nawierzchnię   zjazdów , wejść na posesje i dojazdów do nich na głębokość  do 20 cm z wywiezieniem  materiału po korytowaniu na odległość do 15 km  zjazdy na posesje</t>
  </si>
  <si>
    <t>rycz</t>
  </si>
  <si>
    <t xml:space="preserve">RAZEM   ODWODNIENIE KORPUSU DROGOWEGO </t>
  </si>
  <si>
    <t>RAZEM  ROBOTY  PRZYGOTOWAWCZE</t>
  </si>
  <si>
    <t>Usunięcie istniejących drzew  ( wraz z karpiną) o średnicy do 100 cm  wraz z wydobyciem karpiny . Materiał po zdjeciu gałezi ( dłuzyca) - własnośc inwestora .</t>
  </si>
  <si>
    <t>Opracowanie operatu powykonawczego wraz z wykonaniem mapy powykonawczej dla zadania.</t>
  </si>
  <si>
    <t xml:space="preserve">RAZEM ( netto) </t>
  </si>
  <si>
    <t xml:space="preserve">  PODBUDOWY                                                                                                Kod CPV-45233000-9</t>
  </si>
  <si>
    <t xml:space="preserve">  ODWODNIENIE  KORPUSU  DROGOWEGO                                            Kod CPV-45233000-9</t>
  </si>
  <si>
    <t xml:space="preserve">  ROBOTY  PRZYGOTOWAWCZE                                                                Kod CPV-45100000-8</t>
  </si>
  <si>
    <t xml:space="preserve">  NAWIERZCHNIE                                                                                            Kod CPV-45233000-9</t>
  </si>
  <si>
    <t xml:space="preserve"> ELEMENTY  ULIC                                                                                           Kod CPV-45233000-9</t>
  </si>
  <si>
    <t>OZNAKOWANIE DRÓG I URZADZENIA BEZPIECZEŃSTWA RUCHU    Kod CPV-45233280-5</t>
  </si>
  <si>
    <t xml:space="preserve">Roboty pomiarowe przy  tyczeniu  dróg w terenie równinnym.Obsługa geodezyjna zadania wraz z remontem przepustów  </t>
  </si>
  <si>
    <t>D-01.01.01   ROBOTY  PRZYGOTOWAWCZE   Kod CPV-45100000-8</t>
  </si>
  <si>
    <t>D-03.01.01   ODWODNIENIE  KORPUSU  DROGOWEGO  Kod CPV-45233000-9</t>
  </si>
  <si>
    <t>D-04.01.01   PODBUDOWY Kod CPV-45233000-9</t>
  </si>
  <si>
    <t>D-04.04.01   PODBUDOWY  Kod CPV-45233000-9</t>
  </si>
  <si>
    <t>D-04.08.01   PODBUDOWY  Kod CPV-45233000-9</t>
  </si>
  <si>
    <t>D-05.03.23   NAWIERZCHNIE  Kod CPV-45233000-9</t>
  </si>
  <si>
    <t>D-05.03.05   NAWIERZCHNIE   Kod CPV-45233000-9</t>
  </si>
  <si>
    <t>D-05.03.13  NAWIERZCHNIE  Kod CPV-45233000-9</t>
  </si>
  <si>
    <t>D-08.03.01  ELEMENTY  ULIC Kod CPV-45233000-9</t>
  </si>
  <si>
    <t>D-07.01.00  OZNAKOWANIE DRÓG I URZADZENIA BEZPIECZEŃSTWA RUCHU   Kod CPV-45233280-5</t>
  </si>
  <si>
    <t xml:space="preserve">Rozebranie  elementów z kostki kamiennej  16/18 , 9/11  wraz z podsypką i  podbudową . Materiał własnopścią Zamawiającego - do  oczyszczenia i zwiezienia w miejsce wskazane - do 15km. Pozostały matriał z rozbiórki do wywozu na odległość do 15 km W cenie nalezy ująć wszelkie roboty uwzględniające wydobycie oraz  utylizację . Wywóz gruzu na odległość do 15 km </t>
  </si>
  <si>
    <t>Rozebranie istniejących krawęzników  ( wtopionych i wystających )  betonowych  na ławie betonowej  wraz z wywozem materiału  na odległość  do 15 km .W  cenie jednostkowej należy przewidzieć  utylizację materiału i ław , roboty ziemne związane z ich wydobyciem.</t>
  </si>
  <si>
    <t xml:space="preserve">Rozebranie chodnika z  kostki betonowej  o grubości  8 cm na podsypce cementowo- piaskowej wraz z ułożeniem ich na palety. Materiał do ponownego wbudowania w peron zatoki autobusowej - do uzupełnienia 5%  elelemntów </t>
  </si>
  <si>
    <t>Skarpowanie pobocza gruntowego w miejscu przebiegu jezdni na głebokość do 15 cm wraz z wywozem darni do 15 km  i jej utylizacją . Szerokość skarpowania s=1,0m</t>
  </si>
  <si>
    <t>n=19,00</t>
  </si>
  <si>
    <t xml:space="preserve"> </t>
  </si>
  <si>
    <t>L=2*4830 - 19*4-2*330-315-450-650-50-250-30-150-60-650-130-27*5,0= 6 054,00m</t>
  </si>
  <si>
    <t xml:space="preserve">Rozebranie  istniejących  przepustów  wykonanych z rur żelebetowych do  fi 400 mm  wraz ze ścainkami betonowymi. W cenie  należy ująć  niezbędny zakres robót ziemnych .Materiał do wywiezienia i utylizacji Odległośc transportowa do 15 km. </t>
  </si>
  <si>
    <t>L=12,00 m</t>
  </si>
  <si>
    <t xml:space="preserve">Rozebranie barier typu Zakopiańskiego  przy istniejącym przepuście - komplet ( bariera + słupek)
Materiał do utylizacji .Wywóz materiału do 15 km. </t>
  </si>
  <si>
    <t xml:space="preserve">L=7,00+4*5,00+10*4,00+2*9,00+13*5,00+3*6,00 =168,00m  
n= 54 ścianki gruzobetonowe </t>
  </si>
  <si>
    <t xml:space="preserve">Rozebranie  istniejącego   przepustu   wykonanych z rur żelebetowych do  fi 600 mm  wraz ze ścainkami betonowymi. W cenie  należy ująć  niezbędny zakres robót ziemnych .Materiał do wywiezienia i utylizacji Odległośc transportowa do 15 km. </t>
  </si>
  <si>
    <t xml:space="preserve">L=8,00 m  
n= 2 ścianki gruzobetonowe </t>
  </si>
  <si>
    <t>Rozebranie istniejących krawęzników  ( wtopionych i wystających )  kamiennych na ławie betonowej  wraz z wywozem materiału  na odległość  do 15 km .W  cenie jednostkowej należy przewidzieć  utylizację materiału- ław , roboty ziemne związane z ich wydobyciem.Matriał  własnością Zamawiającego . Do pozostawienia  opornik  do ponownego wbudowania w chodnik w km 0+000  do km 0+105,00 str. P</t>
  </si>
  <si>
    <t>n=5 szt</t>
  </si>
  <si>
    <t>n=1</t>
  </si>
  <si>
    <t xml:space="preserve">Wykonanie ścianek  czołowych dla przepustow fi 400 z  rur PEHD.Scianki  czołowe  prefabrykowane </t>
  </si>
  <si>
    <t xml:space="preserve">n= 54 ścianki prefabrykowane  </t>
  </si>
  <si>
    <t>F =6054,00*(1,50+0,4+1,50+0,5) / 10 000 = 2,36 ha</t>
  </si>
  <si>
    <t>Rozebranie nawierzchni zjazdów  o nawierzchni  gruzobetonowe o grubości 15-20 cm  Materiał do wywozu na odległośc do 15km W cenie jednostkowej należy ując koszt utylizacji .</t>
  </si>
  <si>
    <t>Rozebranie nawierzchni zjazdów  o nawierzchni  tłuczniowo-szutrowej  grubości 15-20 cm w . Materiał do ponownego wbudowania . Materiał nie zakwalifikowany do ponownego wbudownia  do  wywozu na odległośc do 15km W cenie jednostkowej należy ując koszt utylizacji .</t>
  </si>
  <si>
    <t>Frezowanie na glebokość średnią  12 cm  istniejącej warstwy ścieralnej i podbudowy  w miejscu  remontu przepustu  w miejscowości  Gliniany w km 2+331 . Materiał do skałdowania i ponownego wbudowania . Odległość transportowa do 5 km.</t>
  </si>
  <si>
    <t>Rozebranie istniejącej podbudowy tłuczniowej  spod chodników . Materiał do  wywozu na odległośc do 15 km.W cenie jednostkowej  należy przyjąć koszty utylizacji , składowania itp..</t>
  </si>
  <si>
    <t>Rozebranie istniejącej podbudowy tłuczniowej  w miejscu  remontu  przepustu  . Materiał do  wywozu na odległośc do 15 km.W cenie jednostkowej  należy przyjąć koszty utylizacji , składowania itp..</t>
  </si>
  <si>
    <t>Remont istniejącego przepustu dwuotworowego w km 2+331 . Przepust ceglany  ze sklepieniem ceglanym . Remont wykonac zgodnie z opisem technicznym.</t>
  </si>
  <si>
    <t>Oczyszczenie  na długości  po  10,00 m  rowu  dla przepustu   w km 2+331 . Zdjęcie warstwy  20 cm  naziomu . Reprofilacja skarpy  . Materiał do wywozu na odległośc do 15 km . W cenie jednostkowej należy  ująć koszty związane z utylizacją i składowaniem .</t>
  </si>
  <si>
    <t xml:space="preserve">l=2 *10,00 = 20,00 m  </t>
  </si>
  <si>
    <t xml:space="preserve">Wykonanie  płyty  żelbetowej zbrojonej  w miejscu  istniejącego  przepustu zakwalifikowanego do  remontu Płyta żelbetowa o gr 20 cm z betonu C31/32,5  zbrojona siatką  #12  stala BSt 500 S  . W cenie jednostkowej należy ująć koszty  szlunków , zbrojenia , dowozu materiału oraz koszty związane z pielęgnacją </t>
  </si>
  <si>
    <t xml:space="preserve">Wykonanie przepustu  fi 600 z  rur PEHD o długości l= 8,00 m. W cenie jednostkowej należy  uwzględnić  podsypkę  cementowo-piaskową ( zgodnie z opisem ),obsypkę , roboty ziemne . W ramach robót wykonaie czynności jak w  opisie technicznym </t>
  </si>
  <si>
    <t xml:space="preserve">L=8,00 m  </t>
  </si>
  <si>
    <t>Wykonanie przepustu  fi 600 z  rur PEHD  - ścianki  czołowe żelbetowe prefabrykowane</t>
  </si>
  <si>
    <t xml:space="preserve">n=2 szt </t>
  </si>
  <si>
    <t xml:space="preserve">Frezowanie  nawierzchni w miejscu włączenia się do istniejących  nawierzchni  do głebokośći  6 cm  Materiał frezowina do ponownego wbudowania w pobocze. </t>
  </si>
  <si>
    <t xml:space="preserve">Wykonanie przepustow fi 400 z  rur PEHD o długości l= 6,00 -12,00 m W ramach robót wykonanie czynności jak w  opisie technicznym </t>
  </si>
  <si>
    <t xml:space="preserve">L=7,00+4*5,00+10*4,00+2*9,00+13*5,00+3*6,00 =168,00m  </t>
  </si>
  <si>
    <t xml:space="preserve">Wykonanie ścianek  czołowych  dla przepustu  istniejącego w km 2+331  zgodnie z  dokumentacją ze betonu C30/32,5 zbrojonego stalą BSt 500S ( zgodnie z zestwieniem) . </t>
  </si>
  <si>
    <t xml:space="preserve">Rozebranie i ponowne wbudowanie wiaty  przystanku autobusowego po wykonaniu peronu. Materiał do oczyszczenia. W cenę należy wliczyć koszty związane z dozorem , wbudowaniem uzupełnieniem powłok malrskich . </t>
  </si>
  <si>
    <t xml:space="preserve">Usunięcie  nadmiaru humusu i darni  po trasie ciągu chodnika  do gł.25 cm . Wywóz nadmiaru materiału na odległość do 15km </t>
  </si>
  <si>
    <t xml:space="preserve">Wykonanie podbudowy tłuczniowej z kruszywa stabilizowanego mechanicznie 0/63 i gr 20cm  
poszerzenie i zjazdy wraz z drogami  bocznymi . </t>
  </si>
  <si>
    <t>D-04.05,01   PODBUDOWY I ULEPSZONE PODŁOŻE   Z KRUSZYWA STABILIZOWANEGO  CEMENTEM   Kod CPV-45233000-9</t>
  </si>
  <si>
    <t xml:space="preserve">Wykonanie warstwy  podbudowy z kruszywa mineralnego (pasku )  stabilizowanego cemntem o C2,5/3 MPa  o grubości  15 cm w miejscu wymiany oraz  zjazdów. </t>
  </si>
  <si>
    <t>Nawierzchnia z kostki betonowej  brukowej gr 8 cm -na podsypce  z miału kamiennego o gr 3 cm z uzupełnieniem podbudowy ( mieszanka 0/31 mm) z istniejącego materiału. Kostka nowa na poziomie 5%</t>
  </si>
  <si>
    <t xml:space="preserve">L=15,00+5,00+10,00+15,00+15,00+(10+0,5*3,14*6) = 79,42 m </t>
  </si>
  <si>
    <t xml:space="preserve">Kawężniki betonowe 15*30*100  betonowe wystające i wtopione wraz z docięciem i  z wykonaniem ław betonowych z betonu C12,5/15. Rejon zatoki autobusowej, chodni w miejscowości Domaszków. </t>
  </si>
  <si>
    <t>L=79,42+6*1,75= 89,92 m</t>
  </si>
  <si>
    <t>Obrzeza betonowe 8*30*100 z wykonaniem ław betonowych z betonu C12/15</t>
  </si>
  <si>
    <t>Ułożenie oporników , krawęzników kamiennych wraz z docięciem i segregacją . Krawęzniki  układać wraz z wykonaniem ław betonowych z betonu C12/15</t>
  </si>
  <si>
    <t>L=102,00 m</t>
  </si>
  <si>
    <t xml:space="preserve">Linie oznakowania poziomego - cienkowarstwowe </t>
  </si>
  <si>
    <t xml:space="preserve">n=48*2  słupki nowe </t>
  </si>
  <si>
    <t xml:space="preserve">L=24,00m </t>
  </si>
  <si>
    <t>Wykonanie  dokumentacji dla potrzeb budowy , uzgodnienie jej  i wyniesieni ORZ  na czas prowadzenia robót</t>
  </si>
  <si>
    <t>Wykonanie bariery  typu SP-04w miejscu  rozebrania barier betonowych  na słukach stalowych co 200cm</t>
  </si>
  <si>
    <r>
      <t xml:space="preserve">Wykonanie podbudowy tłuczniowej z kruszywa stabilizowanego mechanicznie 0/31,5 mm i  gr 15 cm  
</t>
    </r>
    <r>
      <rPr>
        <b/>
        <i/>
        <sz val="12"/>
        <rFont val="Arial"/>
        <family val="2"/>
        <charset val="238"/>
      </rPr>
      <t xml:space="preserve">-chodniki </t>
    </r>
  </si>
  <si>
    <t xml:space="preserve">Nawierzchnia z kostki betonowej  brukowej gr 8 cm -na podsypce  z miału kamiennego o gr 3 cm :  chodnik - kolor kostki szary . Kostka  spoinowana piaskiem drobnym </t>
  </si>
  <si>
    <t>Korytowanie wraz z profilowaniem  pod poszerzenie nawierzchni  w miejscu robót  rozbiorkowych  na głębokość 35-40 cm z wywiezieniem  materiału po korytowaniu na odległość do 15 km  
ciag głowny.</t>
  </si>
  <si>
    <t xml:space="preserve">Frezowanie   wykruszonych  odcinków  krawędzi  jezdni   na  szerokośś s=2*1,00 i głebokośći do 5 cm  istniejącej nawierzchni Materiał frezowina do ponownego wbudowania w pobocze. </t>
  </si>
  <si>
    <t>Wyrównanie istniejącej podbudowy mieszankami mineralno-bitumicznymi ( średnio 3  ) w miejscach istniejąej  zfrezowanej  nawierzchni  w rejonie pobocza .  Uzupełnienie  w rejonach  po  frezowaniu  krawędzi  jezdni Naprawa wykonywana  za pomocą rościelacza .Warstwa AC16W -35/50</t>
  </si>
  <si>
    <t>Wyrównanie istniejącej podbudowy mieszankami mineralno-bitumicznymi ( średnio 3-4 cm ) w miejscach ubytków wraz z oczyszczeniem i wywozem materriału na odległośc do 15 km  .Warstwa AC16W -35/50</t>
  </si>
  <si>
    <t>M=95 Mg</t>
  </si>
  <si>
    <t>Ułożenie siatki wzmacniającej  wraz z przygotowaniem podłoża zgodnie z opisem w SST</t>
  </si>
  <si>
    <t xml:space="preserve">CZĘŚĆ DROGOWA pas jezdni  s= 5.00 m  ( jak  istniejący ) </t>
  </si>
  <si>
    <t xml:space="preserve">Roboty pomiarowe przy  tyczeniu  dróg w terenie równinnym.Obsługa geodezyjna zadania </t>
  </si>
  <si>
    <t>D-01.02.04   ROBOTY  PRZYGOTOWAWCZE  I NAWIERZCHNIOWE  ( bez chodnika ) Kod CPV-45100000-8</t>
  </si>
  <si>
    <t xml:space="preserve">Rozebranie chodnika z  płytek betonowych  ( 50x50 cm ) i 35x35   na podsypce piaskowej wraz z ich utylizacją i wywozem na odległość do 15 km </t>
  </si>
  <si>
    <r>
      <rPr>
        <u/>
        <sz val="12"/>
        <rFont val="Arial"/>
        <family val="2"/>
        <charset val="238"/>
      </rPr>
      <t xml:space="preserve">odcinek nr  2    DOASZKÓW </t>
    </r>
    <r>
      <rPr>
        <sz val="12"/>
        <rFont val="Arial"/>
        <family val="2"/>
        <charset val="238"/>
      </rPr>
      <t xml:space="preserve">
F= 1,50*5,00+1,5*3,50+2,00*1,75+3,00*2,00 =22,25m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
</t>
    </r>
    <r>
      <rPr>
        <u/>
        <sz val="12"/>
        <color rgb="FFFF0000"/>
        <rFont val="Arial"/>
        <family val="2"/>
        <charset val="238"/>
      </rPr>
      <t/>
    </r>
  </si>
  <si>
    <t>Zdjęcie i ponowne zamontowanie oznakowania istniejącego pionowego na czas wykonywania robót. Tablice typu E i znaki drogowe  ( Lubiąz , Wołow 15)</t>
  </si>
  <si>
    <t>Rozebranie podbudów  zjazdów  o nawierzchni  tłuczniowo-szutrowej  grubości 15-20 cm w . Materiał do ponownego wbudowania  25 %  . Materiał nie zakwalifikowany do ponownego wbudownia  do  wywozu na odległośc do 15km W cenie jednostkowej należy ując koszt utylizacji .</t>
  </si>
  <si>
    <r>
      <rPr>
        <u/>
        <sz val="12"/>
        <rFont val="Arial"/>
        <family val="2"/>
        <charset val="238"/>
      </rPr>
      <t xml:space="preserve">Cały  odcinek nr 1 i nr 2 </t>
    </r>
    <r>
      <rPr>
        <sz val="12"/>
        <rFont val="Arial"/>
        <family val="2"/>
        <charset val="238"/>
      </rPr>
      <t xml:space="preserve">
F=4,25*2,00+4,50*2,0+(4,50*1,5) * 2+4,50*2*4=67,00 m</t>
    </r>
    <r>
      <rPr>
        <vertAlign val="superscript"/>
        <sz val="12"/>
        <rFont val="Arial"/>
        <family val="2"/>
        <charset val="238"/>
      </rPr>
      <t xml:space="preserve">2
</t>
    </r>
    <r>
      <rPr>
        <sz val="12"/>
        <color rgb="FFFF0000"/>
        <rFont val="Arial"/>
        <family val="2"/>
        <charset val="238"/>
      </rPr>
      <t/>
    </r>
  </si>
  <si>
    <r>
      <rPr>
        <u/>
        <sz val="12"/>
        <rFont val="Arial"/>
        <family val="2"/>
        <charset val="238"/>
      </rPr>
      <t xml:space="preserve">Odcinek nr 2 DOMASZKÓW  chodnik
</t>
    </r>
    <r>
      <rPr>
        <sz val="12"/>
        <rFont val="Arial"/>
        <family val="2"/>
        <charset val="238"/>
      </rPr>
      <t>F= 20,50*1,50+47,9*1,5+46,20*2,00+34,50*2+61,20*2+20,1*2+(1,5+1)*0,5*8,90 =437,73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  
</t>
    </r>
    <r>
      <rPr>
        <u/>
        <sz val="12"/>
        <rFont val="Arial"/>
        <family val="2"/>
        <charset val="238"/>
      </rPr>
      <t>Odcinek nr 2 DOMASZKÓW zjazdy</t>
    </r>
    <r>
      <rPr>
        <sz val="12"/>
        <rFont val="Arial"/>
        <family val="2"/>
        <charset val="238"/>
      </rPr>
      <t xml:space="preserve">
F= 1,50*0,5*(4,50+3)*2+2,00*0,5*(4,50+7,50)*4=59,25 m</t>
    </r>
    <r>
      <rPr>
        <vertAlign val="superscript"/>
        <sz val="12"/>
        <rFont val="Arial"/>
        <family val="2"/>
        <charset val="238"/>
      </rPr>
      <t>2</t>
    </r>
  </si>
  <si>
    <t>Profilowanie  pod nawierzchnię chodnika i zjazdw  wraz z zagęszczeniem i uzupełnieniem  podbudowy po robotach rozbiórkowych. W cenie jednostkowej należy ując koszty związane z dowozem i rozłożeniem kruszywa 0/31,5 .</t>
  </si>
  <si>
    <r>
      <rPr>
        <u/>
        <sz val="12"/>
        <rFont val="Arial"/>
        <family val="2"/>
        <charset val="238"/>
      </rPr>
      <t xml:space="preserve">Odcinek nr 1  DOMASZKÓW </t>
    </r>
    <r>
      <rPr>
        <sz val="12"/>
        <rFont val="Arial"/>
        <family val="2"/>
        <charset val="238"/>
      </rPr>
      <t xml:space="preserve">
F=2.00 * ( 200 - 6,50-4,50) =378,00 m</t>
    </r>
    <r>
      <rPr>
        <vertAlign val="superscript"/>
        <sz val="12"/>
        <rFont val="Arial"/>
        <family val="2"/>
        <charset val="238"/>
      </rPr>
      <t xml:space="preserve">2 </t>
    </r>
    <r>
      <rPr>
        <sz val="12"/>
        <rFont val="Arial"/>
        <family val="2"/>
        <charset val="238"/>
      </rPr>
      <t xml:space="preserve">  </t>
    </r>
  </si>
  <si>
    <r>
      <t xml:space="preserve">Wykonanie warstwy odsączającej warstwa odsączająca –kruszywo    Gf85  o gr 10 cm - </t>
    </r>
    <r>
      <rPr>
        <b/>
        <i/>
        <sz val="12"/>
        <rFont val="Arial"/>
        <family val="2"/>
        <charset val="238"/>
      </rPr>
      <t xml:space="preserve">pod chodniki i zjazdy </t>
    </r>
  </si>
  <si>
    <r>
      <rPr>
        <u/>
        <sz val="12"/>
        <rFont val="Arial"/>
        <family val="2"/>
        <charset val="238"/>
      </rPr>
      <t xml:space="preserve">Odcinek nr 1- DOMASZKÓW </t>
    </r>
    <r>
      <rPr>
        <sz val="12"/>
        <rFont val="Arial"/>
        <family val="2"/>
        <charset val="238"/>
      </rPr>
      <t xml:space="preserve">
F=( 200-6,3) * 2,00 = 387,40 m</t>
    </r>
    <r>
      <rPr>
        <vertAlign val="superscript"/>
        <sz val="12"/>
        <rFont val="Arial"/>
        <family val="2"/>
        <charset val="238"/>
      </rPr>
      <t>2</t>
    </r>
  </si>
  <si>
    <r>
      <rPr>
        <u/>
        <sz val="12"/>
        <rFont val="Arial"/>
        <family val="2"/>
        <charset val="238"/>
      </rPr>
      <t xml:space="preserve">Odcinek nr 1 DOMASZKÓW </t>
    </r>
    <r>
      <rPr>
        <sz val="12"/>
        <rFont val="Arial"/>
        <family val="2"/>
        <charset val="238"/>
      </rPr>
      <t xml:space="preserve">
F=(200-6,30-4,20-4,50)*2 = 370,00m</t>
    </r>
    <r>
      <rPr>
        <vertAlign val="superscript"/>
        <sz val="12"/>
        <rFont val="Arial"/>
        <family val="2"/>
        <charset val="238"/>
      </rPr>
      <t>2</t>
    </r>
  </si>
  <si>
    <r>
      <t xml:space="preserve">Wykonanie podbudowy tłuczniowej z kruszywa stabilizowanego mechanicznie 0/31,5 i gr 18cm  
 </t>
    </r>
    <r>
      <rPr>
        <b/>
        <i/>
        <sz val="12"/>
        <rFont val="Arial"/>
        <family val="2"/>
        <charset val="238"/>
      </rPr>
      <t xml:space="preserve">zjazdy </t>
    </r>
  </si>
  <si>
    <r>
      <rPr>
        <u/>
        <sz val="12"/>
        <rFont val="Arial"/>
        <family val="2"/>
        <charset val="238"/>
      </rPr>
      <t xml:space="preserve">Odcinek nr 1 DOMASZKÓW </t>
    </r>
    <r>
      <rPr>
        <sz val="12"/>
        <rFont val="Arial"/>
        <family val="2"/>
        <charset val="238"/>
      </rPr>
      <t xml:space="preserve">
F=(4,20+3)*2,0*0,5+(4,50+3,00)*2*0,5 = 14,70m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  </t>
    </r>
    <r>
      <rPr>
        <u/>
        <sz val="12"/>
        <color rgb="FFFF0000"/>
        <rFont val="Arial"/>
        <family val="2"/>
        <charset val="238"/>
      </rPr>
      <t/>
    </r>
  </si>
  <si>
    <r>
      <rPr>
        <u/>
        <sz val="12"/>
        <rFont val="Arial"/>
        <family val="2"/>
        <charset val="238"/>
      </rPr>
      <t xml:space="preserve">Odcinek nr  1  DOMASZKÓW </t>
    </r>
    <r>
      <rPr>
        <sz val="12"/>
        <rFont val="Arial"/>
        <family val="2"/>
        <charset val="238"/>
      </rPr>
      <t xml:space="preserve">
F=370,00+14,7 = 384,70 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>Odcinek nr 2 DOMASZKÓW  chodnik</t>
    </r>
    <r>
      <rPr>
        <sz val="12"/>
        <rFont val="Arial"/>
        <family val="2"/>
        <charset val="238"/>
      </rPr>
      <t xml:space="preserve">
F= 20,50*1,50+47,9*1,5+46,20*2,00+34,50*2+61,20*2+20,1*2+(1,5+1)*0,5*8,90 =437,73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  
</t>
    </r>
    <r>
      <rPr>
        <u/>
        <sz val="12"/>
        <rFont val="Arial"/>
        <family val="2"/>
        <charset val="238"/>
      </rPr>
      <t>Odcinek nr 2 DOMASZKÓW zjazdy</t>
    </r>
    <r>
      <rPr>
        <sz val="12"/>
        <rFont val="Arial"/>
        <family val="2"/>
        <charset val="238"/>
      </rPr>
      <t xml:space="preserve">
F= 1,50*0,5*(4,50+3)*2+2,00*0,5*(4,50+7,50)*4=59,25 m</t>
    </r>
    <r>
      <rPr>
        <vertAlign val="superscript"/>
        <sz val="12"/>
        <rFont val="Arial"/>
        <family val="2"/>
        <charset val="238"/>
      </rPr>
      <t>2</t>
    </r>
  </si>
  <si>
    <t xml:space="preserve">L=293,50+1,50+1,0 =296,00m </t>
  </si>
  <si>
    <t xml:space="preserve">L=200+1,50+2,00+3,14*2*4*0,5 = 216,00  m </t>
  </si>
  <si>
    <t>L=53,00 + 9,50+85,00+ 75,00 = 89,92 m</t>
  </si>
  <si>
    <t xml:space="preserve">RAZEM   ELEMENTY   KOSZTORYS   (brutto) </t>
  </si>
  <si>
    <t>PODATEK   VAT 23 %</t>
  </si>
  <si>
    <t xml:space="preserve">RAZEM  ( netto) </t>
  </si>
  <si>
    <t>PODATEK  VAT 23 %</t>
  </si>
  <si>
    <t xml:space="preserve">RAZEM  ELEMENTY   KOSZTORYS  (brutto) </t>
  </si>
  <si>
    <t xml:space="preserve">Rozebranie istniejących krawężników  ( wtopionych i wystających )  kamiennych na ławie betonowej  wraz z wywozem materiału  na odległość  do 15 km .W  cenie jednostkowej należy przewidzieć  utylizację materiału- ław i krawęzników oraz  roboty ziemne związane z ich wydobyciem. Matriał  własnością Zamawiającego - krawęzniki dłuższe  niż 45 cm </t>
  </si>
  <si>
    <t xml:space="preserve">                   CZĘŚĆ DROGOWA Odcinek nr 1   centrum ( ul.B.WYSOKIEGO)
                                                               CZĘŚĆ DROGOWA Odcinek nr 2  chodnik chodnik w kierunku Glinian ( od km 0+105 do km 0+547,5)</t>
  </si>
  <si>
    <t>Frezowanie  glebokość średnią  2-3   cm  istniejącej warstwy ścieralnej  w celu wyrównania  nawierzchni  i nadania spadków . Materiał do skałdowania i ponownego wbudowania w pobocze utwardzone odcinka Lubiąż- Domaszków . Odległość transportowa do 5 km.</t>
  </si>
  <si>
    <t xml:space="preserve">Przełożenie istniejącego ścieku  z jednego rzedu  kostki betonowej  typu Holland wraz z uzupełnieniem ławy ,  ze względu na podniesienie niwelty  </t>
  </si>
  <si>
    <t>L=22,00 m</t>
  </si>
  <si>
    <t>Rozebranie podbudowy  tłuczniowej  o grubości 25 cm - w miejscu  wykonania ścieku  . Materiał do  wywozu  na odległośc do 15 km</t>
  </si>
  <si>
    <t xml:space="preserve">Regulacja wysokościowa  zaworów wody .W  cenie jednostkowej należy ująć  koszty zwiżane z wymina zniszczonych skrzynek do zaworów </t>
  </si>
  <si>
    <t xml:space="preserve">RAZEM   ROBOTY ROZBIÓRKOWE </t>
  </si>
  <si>
    <t xml:space="preserve">Rozebranie chodnika z  płytek betonowych 35x35 cm ( 50x50 cm )  wraz z  podsypką cem- piaskową , wraz z ich utylizacją i wywozem na odległość do 15 km .Material na pozimie 30-35 %  - do zwrotu Zamawijacemu . 
W cenie jednostkowej należy ując koszty  zaladunku , palet </t>
  </si>
  <si>
    <t xml:space="preserve">Korytowanie wraz z profilowaniem  pod nawierzchnię   po robotach rozbiorkowych w miejscu wymiany podbudowy   na głębokość do 10 cm  z wywiezieniem  materiału po korytowaniu na odległość do 15 km  </t>
  </si>
  <si>
    <t xml:space="preserve">Wykonanie podbudowy tłuczniowej z kruszywa stabilizowanego mechanicznie 0/31,5 mm i  gr 18cm  
poszerzenie i  zjazdy </t>
  </si>
  <si>
    <t xml:space="preserve">Kawężniki betonowe 15*30*100  betonowe wystające i wtopione wraz z docięciem i  z wykonaniem ław betonowych z betonu C12,5/15. </t>
  </si>
  <si>
    <t xml:space="preserve">Kawężniki betonowe 15*22,5 *100 cmm  betonowe wtopione wraz z docięciem i  z wykonaniem ław betonowych z betonu C12,5/15. </t>
  </si>
  <si>
    <t>Obrzeża betonowe 8*30*100 z wykonaniem ław betonowych z betonu C12/15</t>
  </si>
  <si>
    <t>Sciek  krawędziowy 57,00m na ławie betonowej C12,5/15  układany  ze spadkiem w kierunku studni fi 1500</t>
  </si>
  <si>
    <t>n=1m</t>
  </si>
  <si>
    <t>Przełożenie istniejących krawężników  kamiennych wraz z segregacją i docięciem krawędzi uszkodzonych.Krawezniki  układać na ławie betonowej po śladzie ich  wydobycia . Krawężniki  poniżej  45 cm - do utylizacji. Wykonawca w trakcie robót  rozbiórkowych odcinka nr 1 dokona oceny ilości  krawężnika do pozostawienia.W misjscach wjazdów - krawęzniki wtopione jak na PZ</t>
  </si>
  <si>
    <t>Rozebranie nawierzchni zjazdów  o nawierzchni  gruzobetonowe o grubości 15-20 cm  Materiał do wywozu na odległośc do 15km. W cenie jednostkowej należy ując koszty utylizacji .</t>
  </si>
  <si>
    <t>Zdjęcie i ponowne zamontowanie oznakowania istniejącego pionowego na czas wykonywania robót. Tablice typu D i znaki drogowe typu A,B,C z ponwnym zamontowaniem na ławie betonowej .</t>
  </si>
  <si>
    <t>Skarpowanie pobocza gruntowego w miejscu przebiegu  nowego  układu chodnika na głebokość do 25cm wraz z wywozem darni do 15 km  i jej utylizacją  po trasie  chodnika  od km 0+105 do 0+547,50. Szerokość skarpowania s=2,20 ( 1,00+1,20) m.</t>
  </si>
  <si>
    <t>Rozebranie nawierzchni  chodnika  wraz z podsypką piaskową  - kolor czerwony z kostki  o gr. 8 cm . Materiał  zakwalifikowany do  wywozu na odległośc do 15 km na magazyn  Zamawijącego. W cenie jednostkowej należy ująć koszt utylizacji kostek uszkodzonych oraz  palety  ( 80% powierzchni z kostek do zwrotu ) .</t>
  </si>
  <si>
    <t xml:space="preserve">Studnia fi 150 chłonna  o głebokści  2.00 m   zakończona wlotem - wpustu deszczowego  typowego -typ cięzki </t>
  </si>
  <si>
    <t>Rozebranie istniejącej podbudowy tłuczniowej  spod  wjazdów  .Średnia głebokość zalegających  warstw konstrukcyjnych  15 -18 cm . Materiał  przewidzieć do  wbudowania w pobocze wzmocnione .Pozostała cześć do wywozu na odległośc do 5 km.W cenie jednostkowej  należy przyjąć koszty utylizacji , składowania itp..</t>
  </si>
  <si>
    <t>Korytowanie wraz z profilowaniem  pod poszerzenie nawierzchni  w miejscu robót  rozbiorkowych  na głębokość  do  10  cm z wywiezieniem  materiału po korytowaniu na odległość do 15 km   zjazdy  do posesji .</t>
  </si>
  <si>
    <t xml:space="preserve">Nawierzchnia z kostki betonowej  brukowej gr 8 cm - na podsypce  z cem-piask 1 : 3 o gr.2-3 3 cm :  zjazdy- kolor kostki czerwona . Kostka  spoinowana piaskiem drobnym </t>
  </si>
  <si>
    <t xml:space="preserve">Nawierzchnia z kostki betonowej  brukowej gr 8 cm - na podsypce  cem-piask 1:3  o gr.2- 3 cm :  chodnik - kolor kostki szary . Kostka  spoinowana piaskiem drobnym </t>
  </si>
  <si>
    <t xml:space="preserve">Odcinek nr 1  od  ul.Bolesława Wysokiego 
L=178,80+33,00+217,50+46,6+ 26,50+129,00 - 7*8-8,30-9,00 =558,10  m
Odcinek nr 2 w kierinku  miejscowość Gliniany  
L= ( 547,65-105) -8*2-12-7-9=398,65 m </t>
  </si>
  <si>
    <t xml:space="preserve">Stabilizacja pod ławy  krawęznikowe </t>
  </si>
  <si>
    <t xml:space="preserve">ZESTAWIENIE   KOSZTORYSÓW </t>
  </si>
  <si>
    <t>Kosztorys  nr 1    ( netto) )</t>
  </si>
  <si>
    <t xml:space="preserve">RAZEM   KOSZTORYSY  ( 1+2+3)   ( netto) </t>
  </si>
  <si>
    <t xml:space="preserve">RAZEM   KOSZTORYSY   (brutto) </t>
  </si>
  <si>
    <r>
      <rPr>
        <u/>
        <sz val="12"/>
        <rFont val="Arial"/>
        <family val="2"/>
        <charset val="238"/>
      </rPr>
      <t xml:space="preserve">odcinek nr 1  od  ul.Bolesława Wysockiego </t>
    </r>
    <r>
      <rPr>
        <sz val="12"/>
        <rFont val="Arial"/>
        <family val="2"/>
        <charset val="238"/>
      </rPr>
      <t xml:space="preserve">
L=2*400-6,00-4,00-4,00-12,00-6,00-5,000-6,00-4,00-3,00-5,00-3,00-3,00-4,50-5,0-5,0-4,00=720 m
</t>
    </r>
    <r>
      <rPr>
        <u/>
        <sz val="12"/>
        <rFont val="Arial"/>
        <family val="2"/>
        <charset val="238"/>
      </rPr>
      <t xml:space="preserve">odcinek nr 2  miejscowość Gliniany  str L </t>
    </r>
    <r>
      <rPr>
        <sz val="12"/>
        <rFont val="Arial"/>
        <family val="2"/>
        <charset val="238"/>
      </rPr>
      <t xml:space="preserve">
L=165,00 - 3,0-5,0-3,0-5,0-6,0-5,0-6,0 =132,00m 
</t>
    </r>
    <r>
      <rPr>
        <u/>
        <sz val="12"/>
        <rFont val="Arial"/>
        <family val="2"/>
        <charset val="238"/>
      </rPr>
      <t>odcinek nr 3  miejscowość Gliniany  str P</t>
    </r>
    <r>
      <rPr>
        <sz val="12"/>
        <rFont val="Arial"/>
        <family val="2"/>
        <charset val="238"/>
      </rPr>
      <t xml:space="preserve">
L=165,00 - 3,00-3,00-5,00-5,00-3,00-3,00-3,00=140,00m 
</t>
    </r>
    <r>
      <rPr>
        <u/>
        <sz val="12"/>
        <rFont val="Arial"/>
        <family val="2"/>
        <charset val="238"/>
      </rPr>
      <t>odcinek nr 4  miejscowość Gliniany  str L  km 2+285</t>
    </r>
    <r>
      <rPr>
        <sz val="12"/>
        <rFont val="Arial"/>
        <family val="2"/>
        <charset val="238"/>
      </rPr>
      <t xml:space="preserve">
L=16,00m </t>
    </r>
  </si>
  <si>
    <r>
      <rPr>
        <u/>
        <sz val="12"/>
        <rFont val="Arial"/>
        <family val="2"/>
        <charset val="238"/>
      </rPr>
      <t xml:space="preserve">odcinek nr 1-   zatoka autobusowa w miejscowości Gliniany </t>
    </r>
    <r>
      <rPr>
        <sz val="12"/>
        <rFont val="Arial"/>
        <family val="2"/>
        <charset val="238"/>
      </rPr>
      <t xml:space="preserve">
L=27,00 m 
</t>
    </r>
    <r>
      <rPr>
        <u/>
        <sz val="12"/>
        <rFont val="Arial"/>
        <family val="2"/>
        <charset val="238"/>
      </rPr>
      <t xml:space="preserve">odcinek nr 2  miejscowość Gliniany  str L </t>
    </r>
    <r>
      <rPr>
        <sz val="12"/>
        <rFont val="Arial"/>
        <family val="2"/>
        <charset val="238"/>
      </rPr>
      <t xml:space="preserve">
L=165,00 - 3,0-5,0-3,0-5,0-6,0-5,0-6,0 =132,00m 
</t>
    </r>
    <r>
      <rPr>
        <u/>
        <sz val="12"/>
        <rFont val="Arial"/>
        <family val="2"/>
        <charset val="238"/>
      </rPr>
      <t>odcinek nr 3  miejscowość Gliniany  str P</t>
    </r>
    <r>
      <rPr>
        <sz val="12"/>
        <rFont val="Arial"/>
        <family val="2"/>
        <charset val="238"/>
      </rPr>
      <t xml:space="preserve">
L=165,00 - 3,00-3,00-5,00-5,00-3,00-3,00-3,00=140,00m 
</t>
    </r>
    <r>
      <rPr>
        <u/>
        <sz val="12"/>
        <rFont val="Arial"/>
        <family val="2"/>
        <charset val="238"/>
      </rPr>
      <t>odcinek nr 4  miejscowość Domaszków  str P</t>
    </r>
    <r>
      <rPr>
        <sz val="12"/>
        <rFont val="Arial"/>
        <family val="2"/>
        <charset val="238"/>
      </rPr>
      <t xml:space="preserve">
L=10,0m </t>
    </r>
  </si>
  <si>
    <r>
      <rPr>
        <u/>
        <sz val="12"/>
        <rFont val="Arial"/>
        <family val="2"/>
        <charset val="238"/>
      </rPr>
      <t xml:space="preserve">odcinek nr 1 miejscowość Gliniany  - zatoka autobsowa </t>
    </r>
    <r>
      <rPr>
        <sz val="12"/>
        <rFont val="Arial"/>
        <family val="2"/>
        <charset val="238"/>
      </rPr>
      <t xml:space="preserve">
L=22,00m</t>
    </r>
    <r>
      <rPr>
        <u/>
        <sz val="12"/>
        <color rgb="FFFF0000"/>
        <rFont val="Arial"/>
        <family val="2"/>
        <charset val="238"/>
      </rPr>
      <t/>
    </r>
  </si>
  <si>
    <r>
      <rPr>
        <u/>
        <sz val="12"/>
        <rFont val="Arial"/>
        <family val="2"/>
        <charset val="238"/>
      </rPr>
      <t xml:space="preserve">odcinek nr 1- zjazd km 0+128  ( ul.Parkowa w Lubiążu) </t>
    </r>
    <r>
      <rPr>
        <sz val="12"/>
        <rFont val="Arial"/>
        <family val="2"/>
        <charset val="238"/>
      </rPr>
      <t xml:space="preserve">
F=1,00 m</t>
    </r>
    <r>
      <rPr>
        <vertAlign val="superscript"/>
        <sz val="12"/>
        <rFont val="Arial"/>
        <family val="2"/>
        <charset val="238"/>
      </rPr>
      <t xml:space="preserve">2 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 xml:space="preserve">odcinek nr 2 miejscowość Gliniany  - zatoka autobsowa </t>
    </r>
    <r>
      <rPr>
        <sz val="12"/>
        <rFont val="Arial"/>
        <family val="2"/>
        <charset val="238"/>
      </rPr>
      <t xml:space="preserve">
F=(28-3,50)*1,50= 36,75 m</t>
    </r>
    <r>
      <rPr>
        <vertAlign val="superscript"/>
        <sz val="12"/>
        <rFont val="Arial"/>
        <family val="2"/>
        <charset val="238"/>
      </rPr>
      <t xml:space="preserve">2 
</t>
    </r>
    <r>
      <rPr>
        <u/>
        <sz val="12"/>
        <rFont val="Arial"/>
        <family val="2"/>
        <charset val="238"/>
      </rPr>
      <t>odcinek nr 3 miejscowość Gliniany  -strona  P rejon km 2+305</t>
    </r>
    <r>
      <rPr>
        <sz val="12"/>
        <rFont val="Arial"/>
        <family val="2"/>
        <charset val="238"/>
      </rPr>
      <t xml:space="preserve">
F=11,00*1,25= 13,75 m</t>
    </r>
    <r>
      <rPr>
        <vertAlign val="superscript"/>
        <sz val="12"/>
        <rFont val="Arial"/>
        <family val="2"/>
        <charset val="238"/>
      </rPr>
      <t xml:space="preserve">2
</t>
    </r>
    <r>
      <rPr>
        <u/>
        <sz val="12"/>
        <rFont val="Arial"/>
        <family val="2"/>
        <charset val="238"/>
      </rPr>
      <t>odcinek nr 4  miejscowość Domaszków  str P</t>
    </r>
    <r>
      <rPr>
        <sz val="12"/>
        <rFont val="Arial"/>
        <family val="2"/>
        <charset val="238"/>
      </rPr>
      <t xml:space="preserve">
F=10*1,50=15,00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
</t>
    </r>
    <r>
      <rPr>
        <u/>
        <sz val="12"/>
        <rFont val="Arial"/>
        <family val="2"/>
        <charset val="238"/>
      </rPr>
      <t>odcinek nr 5  miejscowość Domaszków  str L</t>
    </r>
    <r>
      <rPr>
        <sz val="12"/>
        <rFont val="Arial"/>
        <family val="2"/>
        <charset val="238"/>
      </rPr>
      <t xml:space="preserve">
F=2,50m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</t>
    </r>
  </si>
  <si>
    <r>
      <rPr>
        <u/>
        <sz val="12"/>
        <rFont val="Arial"/>
        <family val="2"/>
        <charset val="238"/>
      </rPr>
      <t xml:space="preserve">odcinek nr  1 - ulica Kościuszki w Lubiązu </t>
    </r>
    <r>
      <rPr>
        <sz val="12"/>
        <rFont val="Arial"/>
        <family val="2"/>
        <charset val="238"/>
      </rPr>
      <t xml:space="preserve">
F= 10,00*0,54=5,40m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 xml:space="preserve">odcinek nr  2- ulica Kościuszki / Parkowa w Lubiązu </t>
    </r>
    <r>
      <rPr>
        <sz val="12"/>
        <rFont val="Arial"/>
        <family val="2"/>
        <charset val="238"/>
      </rPr>
      <t xml:space="preserve">
F= 13,00*0,54=7,02 m</t>
    </r>
    <r>
      <rPr>
        <vertAlign val="superscript"/>
        <sz val="12"/>
        <rFont val="Arial"/>
        <family val="2"/>
        <charset val="238"/>
      </rPr>
      <t xml:space="preserve">2
</t>
    </r>
    <r>
      <rPr>
        <u/>
        <sz val="12"/>
        <rFont val="Arial"/>
        <family val="2"/>
        <charset val="238"/>
      </rPr>
      <t xml:space="preserve">odcinek nr  3- ulica Kościuszki / Parkowa w Lubiązu </t>
    </r>
    <r>
      <rPr>
        <sz val="12"/>
        <rFont val="Arial"/>
        <family val="2"/>
        <charset val="238"/>
      </rPr>
      <t xml:space="preserve">
F= 18,00*0,54=9,72m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>odcinek nr 4 miejscowośc Gliniany  zjazd w km 2+159</t>
    </r>
    <r>
      <rPr>
        <sz val="12"/>
        <rFont val="Arial"/>
        <family val="2"/>
        <charset val="238"/>
      </rPr>
      <t xml:space="preserve">
F=17.50*0,54 = 9,45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
</t>
    </r>
    <r>
      <rPr>
        <u/>
        <sz val="12"/>
        <color rgb="FFFF0000"/>
        <rFont val="Arial"/>
        <family val="2"/>
        <charset val="238"/>
      </rPr>
      <t/>
    </r>
  </si>
  <si>
    <r>
      <rPr>
        <u/>
        <sz val="12"/>
        <rFont val="Arial"/>
        <family val="2"/>
        <charset val="238"/>
      </rPr>
      <t xml:space="preserve">Rejon przystanku  - miejscowość  Gliniany </t>
    </r>
    <r>
      <rPr>
        <sz val="12"/>
        <rFont val="Arial"/>
        <family val="2"/>
        <charset val="238"/>
      </rPr>
      <t xml:space="preserve">
F=4,00 * 3,50 = 14,00 m</t>
    </r>
    <r>
      <rPr>
        <vertAlign val="superscript"/>
        <sz val="12"/>
        <rFont val="Arial"/>
        <family val="2"/>
        <charset val="238"/>
      </rPr>
      <t xml:space="preserve">2 </t>
    </r>
  </si>
  <si>
    <r>
      <rPr>
        <u/>
        <sz val="12"/>
        <rFont val="Arial"/>
        <family val="2"/>
        <charset val="238"/>
      </rPr>
      <t>odcinek nr 1</t>
    </r>
    <r>
      <rPr>
        <sz val="12"/>
        <rFont val="Arial"/>
        <family val="2"/>
        <charset val="238"/>
      </rPr>
      <t xml:space="preserve">
F=2,00*1,50=3,00m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</t>
    </r>
  </si>
  <si>
    <r>
      <t>F = (2*4830 - (105,00+15,00+10,00+24,00+19*4,50+11,00+10,00+1,00+27*18,00))*1,0 = 15 615,65 m</t>
    </r>
    <r>
      <rPr>
        <vertAlign val="superscript"/>
        <sz val="12"/>
        <rFont val="Arial"/>
        <family val="2"/>
        <charset val="238"/>
      </rPr>
      <t xml:space="preserve">2 </t>
    </r>
  </si>
  <si>
    <r>
      <rPr>
        <u/>
        <sz val="12"/>
        <rFont val="Arial"/>
        <family val="2"/>
        <charset val="238"/>
      </rPr>
      <t xml:space="preserve">Odcinek  Lubiąż </t>
    </r>
    <r>
      <rPr>
        <sz val="12"/>
        <rFont val="Arial"/>
        <family val="2"/>
        <charset val="238"/>
      </rPr>
      <t xml:space="preserve">
F=4*((5,50+3,50)*0,5*5,00) =90,00m</t>
    </r>
    <r>
      <rPr>
        <vertAlign val="superscript"/>
        <sz val="12"/>
        <rFont val="Arial"/>
        <family val="2"/>
        <charset val="238"/>
      </rPr>
      <t xml:space="preserve">2 </t>
    </r>
  </si>
  <si>
    <r>
      <rPr>
        <u/>
        <sz val="12"/>
        <rFont val="Arial"/>
        <family val="2"/>
        <charset val="238"/>
      </rPr>
      <t xml:space="preserve">Odcinek  Lubiąż </t>
    </r>
    <r>
      <rPr>
        <sz val="12"/>
        <rFont val="Arial"/>
        <family val="2"/>
        <charset val="238"/>
      </rPr>
      <t xml:space="preserve">
F=1,00*5,00+3,50*2,00 =12,00m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</t>
    </r>
  </si>
  <si>
    <r>
      <rPr>
        <u/>
        <sz val="12"/>
        <rFont val="Arial"/>
        <family val="2"/>
        <charset val="238"/>
      </rPr>
      <t>Cały  odcinek</t>
    </r>
    <r>
      <rPr>
        <sz val="12"/>
        <rFont val="Arial"/>
        <family val="2"/>
        <charset val="238"/>
      </rPr>
      <t xml:space="preserve">
F=19,00* 4,00 * 2,50 =  190,00 m</t>
    </r>
    <r>
      <rPr>
        <vertAlign val="superscript"/>
        <sz val="12"/>
        <rFont val="Arial"/>
        <family val="2"/>
        <charset val="238"/>
      </rPr>
      <t xml:space="preserve">2
</t>
    </r>
    <r>
      <rPr>
        <sz val="12"/>
        <rFont val="Arial"/>
        <family val="2"/>
        <charset val="238"/>
      </rPr>
      <t>F=28,50*23+48,20*3+37,75*5+39,2*1+12*1,8=1049,65 m</t>
    </r>
    <r>
      <rPr>
        <vertAlign val="superscript"/>
        <sz val="12"/>
        <rFont val="Arial"/>
        <family val="2"/>
        <charset val="238"/>
      </rPr>
      <t>2</t>
    </r>
  </si>
  <si>
    <r>
      <rPr>
        <u/>
        <sz val="12"/>
        <rFont val="Arial"/>
        <family val="2"/>
        <charset val="238"/>
      </rPr>
      <t xml:space="preserve">Odcinek  Lubiąż  - Gliniany   (  odcinek dł. 900m )-(szerokośc max 5,10 -  szer.min 4,95) </t>
    </r>
    <r>
      <rPr>
        <sz val="12"/>
        <rFont val="Arial"/>
        <family val="2"/>
        <charset val="238"/>
      </rPr>
      <t xml:space="preserve">
F=900,00*5,05 =4 545,00 m</t>
    </r>
    <r>
      <rPr>
        <vertAlign val="superscript"/>
        <sz val="12"/>
        <rFont val="Arial"/>
        <family val="2"/>
        <charset val="238"/>
      </rPr>
      <t xml:space="preserve">2 </t>
    </r>
  </si>
  <si>
    <r>
      <t xml:space="preserve">Rozebranie podbudowy  tłuczniowej  - w miejscu wymiany - na głebokość do 20 cm. Materiał - do ponownego wykorzystania i do wbudowania w pobocze .Odległośc transportowa do 5 km. 
</t>
    </r>
    <r>
      <rPr>
        <b/>
        <i/>
        <sz val="12"/>
        <rFont val="Arial"/>
        <family val="2"/>
        <charset val="238"/>
      </rPr>
      <t xml:space="preserve">Odcinek przewidziany do wymiany  o dł. 900,00 m </t>
    </r>
  </si>
  <si>
    <r>
      <rPr>
        <u/>
        <sz val="12"/>
        <rFont val="Arial"/>
        <family val="2"/>
        <charset val="238"/>
      </rPr>
      <t xml:space="preserve">Odcinek  Lubiąż  - Gliniany   (  odcinek dł. 900m )-(szerokośc max 5,10 -  szer.min 4,95) </t>
    </r>
    <r>
      <rPr>
        <sz val="12"/>
        <rFont val="Arial"/>
        <family val="2"/>
        <charset val="238"/>
      </rPr>
      <t xml:space="preserve">
F=900,00*5,05 =4 545 m2   </t>
    </r>
  </si>
  <si>
    <r>
      <rPr>
        <u/>
        <sz val="12"/>
        <rFont val="Arial"/>
        <family val="2"/>
        <charset val="238"/>
      </rPr>
      <t>odcinek nr  1 Lubiąż km 0+000 do km 0+105,00</t>
    </r>
    <r>
      <rPr>
        <sz val="12"/>
        <rFont val="Arial"/>
        <family val="2"/>
        <charset val="238"/>
      </rPr>
      <t xml:space="preserve">
F=105,00*1,2= 126,00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>odcinek nr 2 miejscowość Gliniany km 2+230 do skrzyżowania km 2+285</t>
    </r>
    <r>
      <rPr>
        <sz val="12"/>
        <rFont val="Arial"/>
        <family val="2"/>
        <charset val="238"/>
      </rPr>
      <t xml:space="preserve">
F=(10+0,5*3,14*6)*1,75=33,98 m</t>
    </r>
    <r>
      <rPr>
        <vertAlign val="superscript"/>
        <sz val="12"/>
        <rFont val="Arial"/>
        <family val="2"/>
        <charset val="238"/>
      </rPr>
      <t xml:space="preserve">2 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 xml:space="preserve">odcinek nr 3  zatoka autobusowa  Gliniany </t>
    </r>
    <r>
      <rPr>
        <sz val="12"/>
        <rFont val="Arial"/>
        <family val="2"/>
        <charset val="238"/>
      </rPr>
      <t xml:space="preserve">
F=(3,14*6+10,00+6,50)*2,25=79,52 m</t>
    </r>
    <r>
      <rPr>
        <vertAlign val="superscript"/>
        <sz val="12"/>
        <rFont val="Arial"/>
        <family val="2"/>
        <charset val="238"/>
      </rPr>
      <t xml:space="preserve">2 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 xml:space="preserve">odcinek nr 4- Domaszków </t>
    </r>
    <r>
      <rPr>
        <sz val="12"/>
        <rFont val="Arial"/>
        <family val="2"/>
        <charset val="238"/>
      </rPr>
      <t xml:space="preserve">
F=1,50*15,00=22,50 m</t>
    </r>
    <r>
      <rPr>
        <vertAlign val="superscript"/>
        <sz val="12"/>
        <rFont val="Arial"/>
        <family val="2"/>
        <charset val="238"/>
      </rPr>
      <t>2</t>
    </r>
  </si>
  <si>
    <r>
      <t>F=262,00-22,50 = 239,50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</t>
    </r>
  </si>
  <si>
    <r>
      <t>F=5,00* 4,00  =20,00m</t>
    </r>
    <r>
      <rPr>
        <vertAlign val="superscript"/>
        <sz val="12"/>
        <rFont val="Arial"/>
        <family val="2"/>
        <charset val="238"/>
      </rPr>
      <t xml:space="preserve">2 </t>
    </r>
  </si>
  <si>
    <r>
      <t>F=20,00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</t>
    </r>
  </si>
  <si>
    <r>
      <t>F=(4 830,00-900,00) *1,20 =4716,00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</t>
    </r>
  </si>
  <si>
    <r>
      <t>F=5*6,00*4,50=135,00m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</t>
    </r>
  </si>
  <si>
    <r>
      <t>F= 6,50 *3,75 = 24,38 m</t>
    </r>
    <r>
      <rPr>
        <vertAlign val="superscript"/>
        <sz val="12"/>
        <rFont val="Arial"/>
        <family val="2"/>
        <charset val="238"/>
      </rPr>
      <t>2</t>
    </r>
  </si>
  <si>
    <r>
      <t>Wykonanie na  płytcie   żelbetowej  izolacji  poziomej   termozgrzewalnej . Zgodnie z dokumentacją - podkład + papa  system. W cenie jednostkowej  należy uwzględnić przygotowanie  powierzchni , badania  na płycie  i izolacji   typu</t>
    </r>
    <r>
      <rPr>
        <i/>
        <sz val="12"/>
        <rFont val="Arial"/>
        <family val="2"/>
        <charset val="238"/>
      </rPr>
      <t xml:space="preserve"> "pull-off"  </t>
    </r>
    <r>
      <rPr>
        <sz val="12"/>
        <rFont val="Arial"/>
        <family val="2"/>
        <charset val="238"/>
      </rPr>
      <t>.</t>
    </r>
  </si>
  <si>
    <r>
      <t xml:space="preserve">Korytowanie wraz z profilowaniem  pod nawierzchnię   po robotach rozbiorkowych w miejscu wymiany podbudowy   na głębokość s= 15cm z wywiezieniem  materiału po korytowaniu na odległość do 15 km  
ciag głowny. </t>
    </r>
    <r>
      <rPr>
        <b/>
        <sz val="12"/>
        <rFont val="Arial"/>
        <family val="2"/>
        <charset val="238"/>
      </rPr>
      <t xml:space="preserve">Odcinek przewidziany do wymiany  o dł. 900,00 m </t>
    </r>
  </si>
  <si>
    <r>
      <rPr>
        <u/>
        <sz val="12"/>
        <rFont val="Arial"/>
        <family val="2"/>
        <charset val="238"/>
      </rPr>
      <t xml:space="preserve">Odcinek  Lubiąż  - Gliniany   (odcinek dł. 900m )-(szerokośc max 5,10 -  szer.min 4,95) </t>
    </r>
    <r>
      <rPr>
        <sz val="12"/>
        <rFont val="Arial"/>
        <family val="2"/>
        <charset val="238"/>
      </rPr>
      <t xml:space="preserve">
F=900,00*5,05 =4 545,00 m</t>
    </r>
    <r>
      <rPr>
        <vertAlign val="superscript"/>
        <sz val="12"/>
        <rFont val="Arial"/>
        <family val="2"/>
        <charset val="238"/>
      </rPr>
      <t xml:space="preserve">2 </t>
    </r>
    <r>
      <rPr>
        <sz val="12"/>
        <rFont val="Arial"/>
        <family val="2"/>
        <charset val="238"/>
      </rPr>
      <t xml:space="preserve">  </t>
    </r>
  </si>
  <si>
    <r>
      <rPr>
        <u/>
        <sz val="12"/>
        <rFont val="Arial"/>
        <family val="2"/>
        <charset val="238"/>
      </rPr>
      <t xml:space="preserve">Odcinek  Lubiąż  - Gliniany   (odcinek dł. 900m )-(szerokośc max 5,10 -  szer.min 4,95) 
</t>
    </r>
    <r>
      <rPr>
        <b/>
        <u/>
        <sz val="12"/>
        <rFont val="Arial"/>
        <family val="2"/>
        <charset val="238"/>
      </rPr>
      <t>Odcinek przewidziany do wymiany  o dł. 900,00 m</t>
    </r>
    <r>
      <rPr>
        <sz val="12"/>
        <rFont val="Arial"/>
        <family val="2"/>
        <charset val="238"/>
      </rPr>
      <t xml:space="preserve">
F=900,00 *5,15=4635,00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  
</t>
    </r>
    <r>
      <rPr>
        <u/>
        <sz val="12"/>
        <rFont val="Arial"/>
        <family val="2"/>
        <charset val="238"/>
      </rPr>
      <t xml:space="preserve">Odcinek nr 2 Gliniany  km 1+159
</t>
    </r>
    <r>
      <rPr>
        <sz val="12"/>
        <rFont val="Arial"/>
        <family val="2"/>
        <charset val="238"/>
      </rPr>
      <t>F=32,00 +45,00=77,00m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  
 </t>
    </r>
  </si>
  <si>
    <r>
      <t xml:space="preserve">Wykonanie warstwy odsączającej warstwa odsączająca –kruszywo    Gf85  o gr 10 cm - </t>
    </r>
    <r>
      <rPr>
        <b/>
        <i/>
        <sz val="12"/>
        <rFont val="Arial"/>
        <family val="2"/>
        <charset val="238"/>
      </rPr>
      <t xml:space="preserve">pod chodniki </t>
    </r>
  </si>
  <si>
    <r>
      <rPr>
        <u/>
        <sz val="12"/>
        <rFont val="Arial"/>
        <family val="2"/>
        <charset val="238"/>
      </rPr>
      <t>dcinek nr  1 Lubiąż km 0+000 do km 0+105,00</t>
    </r>
    <r>
      <rPr>
        <sz val="12"/>
        <rFont val="Arial"/>
        <family val="2"/>
        <charset val="238"/>
      </rPr>
      <t xml:space="preserve">
F=105,00*1,2= 126,00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>odcinek nr 2 miejscowość Gliniany km 2+230 do skrzyżowania km 2+285</t>
    </r>
    <r>
      <rPr>
        <sz val="12"/>
        <rFont val="Arial"/>
        <family val="2"/>
        <charset val="238"/>
      </rPr>
      <t xml:space="preserve">
F=(10+0,5*3,14*6)*1,75=33,98 m</t>
    </r>
    <r>
      <rPr>
        <vertAlign val="superscript"/>
        <sz val="12"/>
        <rFont val="Arial"/>
        <family val="2"/>
        <charset val="238"/>
      </rPr>
      <t xml:space="preserve">2 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 xml:space="preserve">odcinek nr 3  zatoka autobusowa  Gliniany </t>
    </r>
    <r>
      <rPr>
        <sz val="12"/>
        <rFont val="Arial"/>
        <family val="2"/>
        <charset val="238"/>
      </rPr>
      <t xml:space="preserve">
F=(3,14*6+10,00+6,50)*2,25=79,52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
</t>
    </r>
    <r>
      <rPr>
        <u/>
        <sz val="12"/>
        <rFont val="Arial"/>
        <family val="2"/>
        <charset val="238"/>
      </rPr>
      <t xml:space="preserve">odcinek nr 4- Domaszków </t>
    </r>
    <r>
      <rPr>
        <sz val="12"/>
        <rFont val="Arial"/>
        <family val="2"/>
        <charset val="238"/>
      </rPr>
      <t xml:space="preserve">
F=1,50*15,00=22,50 m</t>
    </r>
    <r>
      <rPr>
        <vertAlign val="superscript"/>
        <sz val="12"/>
        <rFont val="Arial"/>
        <family val="2"/>
        <charset val="238"/>
      </rPr>
      <t>2</t>
    </r>
  </si>
  <si>
    <r>
      <rPr>
        <u/>
        <sz val="12"/>
        <rFont val="Arial"/>
        <family val="2"/>
        <charset val="238"/>
      </rPr>
      <t>odcinek nr  1 Lubiąż km 0+000 do km 0+105,00</t>
    </r>
    <r>
      <rPr>
        <sz val="12"/>
        <rFont val="Arial"/>
        <family val="2"/>
        <charset val="238"/>
      </rPr>
      <t xml:space="preserve">
F=105,00*1,2= 126,00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>odcinek nr 2 miejscowość Gliniany km 2+230 do skrzyżowania km 2+285</t>
    </r>
    <r>
      <rPr>
        <sz val="12"/>
        <rFont val="Arial"/>
        <family val="2"/>
        <charset val="238"/>
      </rPr>
      <t xml:space="preserve">
F=(10+0,5*3,14*6)*1,75=33,98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
</t>
    </r>
    <r>
      <rPr>
        <u/>
        <sz val="12"/>
        <rFont val="Arial"/>
        <family val="2"/>
        <charset val="238"/>
      </rPr>
      <t xml:space="preserve">odcinek nr 3  zatoka autobusowa  Gliniany </t>
    </r>
    <r>
      <rPr>
        <sz val="12"/>
        <rFont val="Arial"/>
        <family val="2"/>
        <charset val="238"/>
      </rPr>
      <t xml:space="preserve">
F=(3,14*6+10,00+6,50)*2,25=79,52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
</t>
    </r>
    <r>
      <rPr>
        <u/>
        <sz val="12"/>
        <rFont val="Arial"/>
        <family val="2"/>
        <charset val="238"/>
      </rPr>
      <t xml:space="preserve">odcinek nr 4- Domaszków </t>
    </r>
    <r>
      <rPr>
        <sz val="12"/>
        <rFont val="Arial"/>
        <family val="2"/>
        <charset val="238"/>
      </rPr>
      <t xml:space="preserve">
F=1,50*15,00=22,50 m</t>
    </r>
    <r>
      <rPr>
        <vertAlign val="superscript"/>
        <sz val="12"/>
        <rFont val="Arial"/>
        <family val="2"/>
        <charset val="238"/>
      </rPr>
      <t>2</t>
    </r>
  </si>
  <si>
    <r>
      <rPr>
        <u/>
        <sz val="12"/>
        <rFont val="Arial"/>
        <family val="2"/>
        <charset val="238"/>
      </rPr>
      <t>Zjazdy</t>
    </r>
    <r>
      <rPr>
        <sz val="12"/>
        <rFont val="Arial"/>
        <family val="2"/>
        <charset val="238"/>
      </rPr>
      <t xml:space="preserve"> : 
F= 1 239,65 m</t>
    </r>
    <r>
      <rPr>
        <vertAlign val="superscript"/>
        <sz val="12"/>
        <rFont val="Arial"/>
        <family val="2"/>
        <charset val="238"/>
      </rPr>
      <t xml:space="preserve">2
</t>
    </r>
    <r>
      <rPr>
        <u/>
        <sz val="12"/>
        <rFont val="Arial"/>
        <family val="2"/>
        <charset val="238"/>
      </rPr>
      <t xml:space="preserve">Odcinek  Lubiąż  - Gliniany   (odcinek dł. 900m )-(szerokośc max 5,10 -  szer.min 4,95)  
</t>
    </r>
    <r>
      <rPr>
        <b/>
        <sz val="12"/>
        <rFont val="Arial"/>
        <family val="2"/>
        <charset val="238"/>
      </rPr>
      <t>Odcinek przewidziany do wymiany  o dł. 900,00 m</t>
    </r>
    <r>
      <rPr>
        <sz val="12"/>
        <rFont val="Arial"/>
        <family val="2"/>
        <charset val="238"/>
      </rPr>
      <t xml:space="preserve">
F=900,00 *5,15 = 4635,00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  
</t>
    </r>
    <r>
      <rPr>
        <u/>
        <sz val="12"/>
        <rFont val="Arial"/>
        <family val="2"/>
        <charset val="238"/>
      </rPr>
      <t>Odcinek nr 2 Gliniany  km 1+159</t>
    </r>
    <r>
      <rPr>
        <sz val="12"/>
        <rFont val="Arial"/>
        <family val="2"/>
        <charset val="238"/>
      </rPr>
      <t xml:space="preserve">
F=32,00 +45,00=77,00m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  </t>
    </r>
    <r>
      <rPr>
        <u/>
        <sz val="12"/>
        <color rgb="FFFF0000"/>
        <rFont val="Arial"/>
        <family val="2"/>
        <charset val="238"/>
      </rPr>
      <t/>
    </r>
  </si>
  <si>
    <r>
      <t>F= 5951,65 m</t>
    </r>
    <r>
      <rPr>
        <vertAlign val="superscript"/>
        <sz val="12"/>
        <rFont val="Arial"/>
        <family val="2"/>
        <charset val="238"/>
      </rPr>
      <t>2</t>
    </r>
  </si>
  <si>
    <r>
      <t>F=(4 830,00 - 900,00) * 1,20  =4716,00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</t>
    </r>
  </si>
  <si>
    <r>
      <t>F= 14,00m</t>
    </r>
    <r>
      <rPr>
        <vertAlign val="superscript"/>
        <sz val="12"/>
        <rFont val="Arial"/>
        <family val="2"/>
        <charset val="238"/>
      </rPr>
      <t xml:space="preserve">2 </t>
    </r>
  </si>
  <si>
    <r>
      <t>Ułożenie podbudowy z  asfaltobetonu  AC 16 P 35/50 w miejscu wykonywanych robót (  wraz z oczyszczeniem i skropieniem w ilości do 0,8 kg/m</t>
    </r>
    <r>
      <rPr>
        <i/>
        <vertAlign val="superscript"/>
        <sz val="12"/>
        <rFont val="Arial"/>
        <family val="2"/>
        <charset val="238"/>
      </rPr>
      <t>2</t>
    </r>
    <r>
      <rPr>
        <i/>
        <sz val="12"/>
        <rFont val="Arial"/>
        <family val="2"/>
        <charset val="238"/>
      </rPr>
      <t xml:space="preserve"> - o gr 7 cm 
</t>
    </r>
    <r>
      <rPr>
        <b/>
        <i/>
        <sz val="12"/>
        <rFont val="Arial"/>
        <family val="2"/>
        <charset val="238"/>
      </rPr>
      <t xml:space="preserve">Odcinek przewidziany do wymiany  o dł. 900,00 m </t>
    </r>
  </si>
  <si>
    <r>
      <t>F=900*5,10 =   4590,00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</t>
    </r>
  </si>
  <si>
    <r>
      <t>Skropienie i oczyszczenie nawierzchni F=4590,00m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 </t>
    </r>
  </si>
  <si>
    <r>
      <t>Ułozenie npodbudowy z  asfaltobetonu  AC 16 W 35/50  w miejscu wykonywanych robót   o gr  6 cm poszerzeniach i w miejscu wymian  dodatkowych  - wraz z oczyszczeniem i skropieniem w ilości do 0,8 kg/m</t>
    </r>
    <r>
      <rPr>
        <i/>
        <vertAlign val="superscript"/>
        <sz val="12"/>
        <rFont val="Arial"/>
        <family val="2"/>
        <charset val="238"/>
      </rPr>
      <t xml:space="preserve">2 </t>
    </r>
    <r>
      <rPr>
        <i/>
        <sz val="12"/>
        <rFont val="Arial"/>
        <family val="2"/>
        <charset val="238"/>
      </rPr>
      <t xml:space="preserve">asfaltu pozostałego - odcinek  głowny </t>
    </r>
  </si>
  <si>
    <r>
      <t>F=4830*5,05+5,00*0,5*3+10*3+0,5*15*3= 24 451,00  m</t>
    </r>
    <r>
      <rPr>
        <vertAlign val="superscript"/>
        <sz val="12"/>
        <rFont val="Arial"/>
        <family val="2"/>
        <charset val="238"/>
      </rPr>
      <t>2</t>
    </r>
  </si>
  <si>
    <r>
      <t>Skropienie i oczyszczenie  nawierzchnia  F= 24 451,00 m</t>
    </r>
    <r>
      <rPr>
        <vertAlign val="superscript"/>
        <sz val="12"/>
        <rFont val="Arial"/>
        <family val="2"/>
        <charset val="238"/>
      </rPr>
      <t>2</t>
    </r>
  </si>
  <si>
    <r>
      <t>F=(4 830-900,00) *2 = 7860,00 m</t>
    </r>
    <r>
      <rPr>
        <vertAlign val="superscript"/>
        <sz val="12"/>
        <rFont val="Arial"/>
        <family val="2"/>
        <charset val="238"/>
      </rPr>
      <t>2</t>
    </r>
  </si>
  <si>
    <r>
      <t>Ułozenie nawierzchni  SMA   11 PMB  25/55-60 o gr. 5cm w miejscu wykonywanych robót  wraz z oczyszczeniem i skropieniem  w ilości do 0, 3 -0,5 kg/m</t>
    </r>
    <r>
      <rPr>
        <i/>
        <vertAlign val="superscript"/>
        <sz val="12"/>
        <rFont val="Arial"/>
        <family val="2"/>
        <charset val="238"/>
      </rPr>
      <t>2</t>
    </r>
    <r>
      <rPr>
        <i/>
        <sz val="12"/>
        <rFont val="Arial"/>
        <family val="2"/>
        <charset val="238"/>
      </rPr>
      <t xml:space="preserve"> - warstwa  ścieralna na ciągu głównym </t>
    </r>
  </si>
  <si>
    <r>
      <t>F=4 830*5,00+5,0*0,5*3+10*3+0,5*3,00*15,00 = 24210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</t>
    </r>
  </si>
  <si>
    <r>
      <t>Skropienie  i oczyszczenie  nawierzchni F= 24210 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 </t>
    </r>
  </si>
  <si>
    <r>
      <t>Ułozenie nawierzchni  AC11S 35/50  o gr. 5cm w miejscu wykonywanych robót  wraz z oczyszczeniem 
i skropieniem  w ilości do 0, 3 -0,5 kg/m</t>
    </r>
    <r>
      <rPr>
        <i/>
        <vertAlign val="superscript"/>
        <sz val="12"/>
        <rFont val="Arial"/>
        <family val="2"/>
        <charset val="238"/>
      </rPr>
      <t>2</t>
    </r>
    <r>
      <rPr>
        <i/>
        <sz val="12"/>
        <rFont val="Arial"/>
        <family val="2"/>
        <charset val="238"/>
      </rPr>
      <t xml:space="preserve"> - warstwa  ścieralna na  zjazdach  i włączeniach do dróg bocznych </t>
    </r>
  </si>
  <si>
    <r>
      <rPr>
        <u/>
        <sz val="12"/>
        <rFont val="Arial"/>
        <family val="2"/>
        <charset val="238"/>
      </rPr>
      <t xml:space="preserve">Zjazdy : </t>
    </r>
    <r>
      <rPr>
        <sz val="12"/>
        <rFont val="Arial"/>
        <family val="2"/>
        <charset val="238"/>
      </rPr>
      <t xml:space="preserve">
F= 1 239,65 m2</t>
    </r>
  </si>
  <si>
    <r>
      <t>Skropienie  i oczyszczenie  nawierzchni F= 1 239,65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 </t>
    </r>
  </si>
  <si>
    <r>
      <t>Formowanie pobocza z destruktu  bitumicznego i materiału pochodzącego z podbudów  wraz z zagęszczeniem - Pobocze o szerokości 0,75 m i średniej grubośći 15cm.Materiał nowy  kruszywo 0/63mm  na poziomi  V= 927,90 m</t>
    </r>
    <r>
      <rPr>
        <i/>
        <vertAlign val="superscript"/>
        <sz val="12"/>
        <rFont val="Arial"/>
        <family val="2"/>
        <charset val="238"/>
      </rPr>
      <t>3</t>
    </r>
  </si>
  <si>
    <r>
      <t>F =2*0,75*4830-0,75*(  102,00+19*4,50+79,42+27*5,50)=  6 933,44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
V=6 933,44*0,15= 1040,02 m</t>
    </r>
    <r>
      <rPr>
        <vertAlign val="superscript"/>
        <sz val="12"/>
        <rFont val="Arial"/>
        <family val="2"/>
        <charset val="238"/>
      </rPr>
      <t>3</t>
    </r>
    <r>
      <rPr>
        <sz val="12"/>
        <rFont val="Arial"/>
        <family val="2"/>
        <charset val="238"/>
      </rPr>
      <t xml:space="preserve"> 
( rozliczenie materiału : 
poz nr . 17  V=4 725,00*0,05 =236,25 m</t>
    </r>
    <r>
      <rPr>
        <vertAlign val="superscript"/>
        <sz val="12"/>
        <rFont val="Arial"/>
        <family val="2"/>
        <charset val="238"/>
      </rPr>
      <t>3</t>
    </r>
    <r>
      <rPr>
        <sz val="12"/>
        <rFont val="Arial"/>
        <family val="2"/>
        <charset val="238"/>
      </rPr>
      <t xml:space="preserve">  
poz nr . 18  V=4 725,00*0,2*60% =567,00 m</t>
    </r>
    <r>
      <rPr>
        <vertAlign val="superscript"/>
        <sz val="12"/>
        <rFont val="Arial"/>
        <family val="2"/>
        <charset val="238"/>
      </rPr>
      <t xml:space="preserve">3 </t>
    </r>
    <r>
      <rPr>
        <sz val="12"/>
        <rFont val="Arial"/>
        <family val="2"/>
        <charset val="238"/>
      </rPr>
      <t xml:space="preserve"> 
poz nr . 30  V=2 358,00*0,05=117,90  m</t>
    </r>
    <r>
      <rPr>
        <vertAlign val="superscript"/>
        <sz val="12"/>
        <rFont val="Arial"/>
        <family val="2"/>
        <charset val="238"/>
      </rPr>
      <t>3</t>
    </r>
    <r>
      <rPr>
        <sz val="12"/>
        <rFont val="Arial"/>
        <family val="2"/>
        <charset val="238"/>
      </rPr>
      <t xml:space="preserve">  
poz nr . 31  V=135,00*0,05= 6,75 m</t>
    </r>
    <r>
      <rPr>
        <vertAlign val="superscript"/>
        <sz val="12"/>
        <rFont val="Arial"/>
        <family val="2"/>
        <charset val="238"/>
      </rPr>
      <t xml:space="preserve">3 </t>
    </r>
    <r>
      <rPr>
        <sz val="12"/>
        <rFont val="Arial"/>
        <family val="2"/>
        <charset val="238"/>
      </rPr>
      <t xml:space="preserve"> 
                                RAZEM V=927,90 m</t>
    </r>
    <r>
      <rPr>
        <vertAlign val="superscript"/>
        <sz val="12"/>
        <rFont val="Arial"/>
        <family val="2"/>
        <charset val="238"/>
      </rPr>
      <t>3</t>
    </r>
    <r>
      <rPr>
        <sz val="12"/>
        <rFont val="Arial"/>
        <family val="2"/>
        <charset val="238"/>
      </rPr>
      <t xml:space="preserve"> 
Nalezy przewidzieć  do  dowiezienia materiał 0/63 mm w ilości nie mniejszej niż V=112,00 m</t>
    </r>
    <r>
      <rPr>
        <vertAlign val="superscript"/>
        <sz val="12"/>
        <rFont val="Arial"/>
        <family val="2"/>
        <charset val="238"/>
      </rPr>
      <t>3</t>
    </r>
    <r>
      <rPr>
        <sz val="12"/>
        <rFont val="Arial"/>
        <family val="2"/>
        <charset val="238"/>
      </rPr>
      <t xml:space="preserve">  </t>
    </r>
  </si>
  <si>
    <r>
      <t>m</t>
    </r>
    <r>
      <rPr>
        <vertAlign val="superscript"/>
        <sz val="12"/>
        <rFont val="Arial CE"/>
        <charset val="238"/>
      </rPr>
      <t>2</t>
    </r>
  </si>
  <si>
    <r>
      <t>F= liczone dla P1b  ( 0,04m</t>
    </r>
    <r>
      <rPr>
        <vertAlign val="superscript"/>
        <sz val="12"/>
        <rFont val="Arial CE"/>
        <charset val="238"/>
      </rPr>
      <t>2</t>
    </r>
    <r>
      <rPr>
        <sz val="12"/>
        <rFont val="Arial CE"/>
        <charset val="238"/>
      </rPr>
      <t>/mb) = 0,04*4830=193,20 m</t>
    </r>
    <r>
      <rPr>
        <vertAlign val="superscript"/>
        <sz val="12"/>
        <rFont val="Arial CE"/>
        <charset val="238"/>
      </rPr>
      <t>2</t>
    </r>
    <r>
      <rPr>
        <sz val="12"/>
        <rFont val="Arial CE"/>
        <charset val="238"/>
      </rPr>
      <t xml:space="preserve"> 
F= liczone dla P2a  ( 0,12m2/mb) = 0,12*4830*2=1159,00 m</t>
    </r>
    <r>
      <rPr>
        <vertAlign val="superscript"/>
        <sz val="12"/>
        <rFont val="Arial CE"/>
        <charset val="238"/>
      </rPr>
      <t xml:space="preserve">2 </t>
    </r>
    <r>
      <rPr>
        <sz val="12"/>
        <rFont val="Arial CE"/>
        <charset val="238"/>
      </rPr>
      <t xml:space="preserve">
F= liczone dla P1d  ( 0,06m2/mb) = 0,06*54,00=3,24 m2 </t>
    </r>
  </si>
  <si>
    <r>
      <rPr>
        <u/>
        <sz val="12"/>
        <rFont val="Arial"/>
        <family val="2"/>
        <charset val="238"/>
      </rPr>
      <t xml:space="preserve">Odcinek nr 1  od  ul.Bolesława Wysokiego </t>
    </r>
    <r>
      <rPr>
        <sz val="12"/>
        <rFont val="Arial"/>
        <family val="2"/>
        <charset val="238"/>
      </rPr>
      <t xml:space="preserve">
L=178,80+33,00+235,85+43,47+28,16+135,60  =654,88  m
</t>
    </r>
    <r>
      <rPr>
        <u/>
        <sz val="12"/>
        <rFont val="Arial"/>
        <family val="2"/>
        <charset val="238"/>
      </rPr>
      <t xml:space="preserve">Odcinek nr 2 w kierinku  miejscowość Gliniany  </t>
    </r>
    <r>
      <rPr>
        <sz val="12"/>
        <rFont val="Arial"/>
        <family val="2"/>
        <charset val="238"/>
      </rPr>
      <t xml:space="preserve">
L= 130,50m </t>
    </r>
  </si>
  <si>
    <r>
      <rPr>
        <u/>
        <sz val="12"/>
        <rFont val="Arial"/>
        <family val="2"/>
        <charset val="238"/>
      </rPr>
      <t xml:space="preserve">Odcinek nr 1  od  ul.Bolesława Wysockiego </t>
    </r>
    <r>
      <rPr>
        <sz val="12"/>
        <rFont val="Arial"/>
        <family val="2"/>
        <charset val="238"/>
      </rPr>
      <t xml:space="preserve">
L=12,00+32,94 +5,25+39,80+46,00 +2,50=138,49 m</t>
    </r>
    <r>
      <rPr>
        <u/>
        <sz val="12"/>
        <color rgb="FFFF0000"/>
        <rFont val="Arial"/>
        <family val="2"/>
        <charset val="238"/>
      </rPr>
      <t/>
    </r>
  </si>
  <si>
    <r>
      <rPr>
        <u/>
        <sz val="12"/>
        <rFont val="Arial"/>
        <family val="2"/>
        <charset val="238"/>
      </rPr>
      <t xml:space="preserve">Odcinek nr 1  od  ul.Bolesława Wysokiego </t>
    </r>
    <r>
      <rPr>
        <sz val="12"/>
        <rFont val="Arial"/>
        <family val="2"/>
        <charset val="238"/>
      </rPr>
      <t xml:space="preserve">
F=(178,8)*1,85+33*2+217,50*1,65+145,50+ (129,50)*1,50 - 68,35=1027,06 m</t>
    </r>
    <r>
      <rPr>
        <vertAlign val="superscript"/>
        <sz val="12"/>
        <rFont val="Arial"/>
        <family val="2"/>
        <charset val="238"/>
      </rPr>
      <t xml:space="preserve">2 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/>
    </r>
  </si>
  <si>
    <r>
      <rPr>
        <u/>
        <sz val="12"/>
        <rFont val="Arial"/>
        <family val="2"/>
        <charset val="238"/>
      </rPr>
      <t>Odcinek nr 2 w kierinku  miejscowość Gliniany  
( poszerzenie o 1.20 m  w stosunku  do  przedmiaru robót odcinka Lubiąż - Domaszków) )</t>
    </r>
    <r>
      <rPr>
        <sz val="12"/>
        <rFont val="Arial"/>
        <family val="2"/>
        <charset val="238"/>
      </rPr>
      <t xml:space="preserve">
F = (547,65-105,00-12,50)*1,20=  516,18m</t>
    </r>
    <r>
      <rPr>
        <vertAlign val="superscript"/>
        <sz val="12"/>
        <rFont val="Arial"/>
        <family val="2"/>
        <charset val="238"/>
      </rPr>
      <t xml:space="preserve">2 </t>
    </r>
  </si>
  <si>
    <r>
      <t xml:space="preserve">Odcinek nr 1  od  ul.Bolesława Wysokiego 
</t>
    </r>
    <r>
      <rPr>
        <sz val="12"/>
        <rFont val="Arial"/>
        <family val="2"/>
        <charset val="238"/>
      </rPr>
      <t>F=4,50*2+4.2*2+(4+4+4+3,50)*2+(4,00+4,30+5,00)*1,5 =68,50  m</t>
    </r>
    <r>
      <rPr>
        <vertAlign val="superscript"/>
        <sz val="12"/>
        <rFont val="Arial"/>
        <family val="2"/>
        <charset val="238"/>
      </rPr>
      <t>2</t>
    </r>
  </si>
  <si>
    <r>
      <t xml:space="preserve">Odcinek nr 1  od  ul.Bolesława Wysockiego 
</t>
    </r>
    <r>
      <rPr>
        <sz val="12"/>
        <rFont val="Arial"/>
        <family val="2"/>
        <charset val="238"/>
      </rPr>
      <t>F=25,42*1,5 = 38,10 m2</t>
    </r>
  </si>
  <si>
    <r>
      <rPr>
        <u/>
        <sz val="12"/>
        <rFont val="Arial"/>
        <family val="2"/>
        <charset val="238"/>
      </rPr>
      <t xml:space="preserve">Odcinek nr 1  od  ul.Bolesława Wysokiego </t>
    </r>
    <r>
      <rPr>
        <sz val="12"/>
        <rFont val="Arial"/>
        <family val="2"/>
        <charset val="238"/>
      </rPr>
      <t xml:space="preserve">
L=0,4*57,00 =22,80 m</t>
    </r>
    <r>
      <rPr>
        <vertAlign val="superscript"/>
        <sz val="12"/>
        <rFont val="Arial"/>
        <family val="2"/>
        <charset val="238"/>
      </rPr>
      <t>2</t>
    </r>
  </si>
  <si>
    <r>
      <rPr>
        <u/>
        <sz val="12"/>
        <rFont val="Arial"/>
        <family val="2"/>
        <charset val="238"/>
      </rPr>
      <t xml:space="preserve">Odcinek nr 1  od  ul.Bolesława Wysokiego -  zjazdy </t>
    </r>
    <r>
      <rPr>
        <sz val="12"/>
        <rFont val="Arial"/>
        <family val="2"/>
        <charset val="238"/>
      </rPr>
      <t xml:space="preserve">
F=( 4+8)*2*0,5*7+(4,30+8,30)*0,5*1,5+(5+9)*0,5*2=107,45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
</t>
    </r>
    <r>
      <rPr>
        <u/>
        <sz val="12"/>
        <rFont val="Arial"/>
        <family val="2"/>
        <charset val="238"/>
      </rPr>
      <t>Odcinek nr 2 w kierinku  miejscowości Gliniany  - zjazdy</t>
    </r>
    <r>
      <rPr>
        <sz val="12"/>
        <rFont val="Arial"/>
        <family val="2"/>
        <charset val="238"/>
      </rPr>
      <t xml:space="preserve">
F=(4+8)*2*0,5+4*2,80+(3+7)*2*0,5+3,2*2+(5+9)*2*0,5+5,0*3,2=69,60 m</t>
    </r>
    <r>
      <rPr>
        <vertAlign val="superscript"/>
        <sz val="12"/>
        <rFont val="Arial"/>
        <family val="2"/>
        <charset val="238"/>
      </rPr>
      <t>2</t>
    </r>
  </si>
  <si>
    <r>
      <t xml:space="preserve">Odcinek nr 2  w kierunku   miejscowości Gliniany -chodniki 
</t>
    </r>
    <r>
      <rPr>
        <sz val="12"/>
        <rFont val="Arial"/>
        <family val="2"/>
        <charset val="238"/>
      </rPr>
      <t>F=(547,65-105-6,50-10,00-4,50-4,50-6,00-3,50-5,50)*2,20 =884,73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</t>
    </r>
  </si>
  <si>
    <r>
      <t>Wykonanie warstwy odsączającej  warstwa odsączająca – kruszywo  Gf85  o gr.12 cm -</t>
    </r>
    <r>
      <rPr>
        <b/>
        <i/>
        <sz val="12"/>
        <rFont val="Arial"/>
        <family val="2"/>
        <charset val="238"/>
      </rPr>
      <t xml:space="preserve">pod chodniki </t>
    </r>
  </si>
  <si>
    <r>
      <rPr>
        <u/>
        <sz val="12"/>
        <rFont val="Arial"/>
        <family val="2"/>
        <charset val="238"/>
      </rPr>
      <t xml:space="preserve">Odcinek nr 2  w kierunku   miejscowości Gliniany - chodniki </t>
    </r>
    <r>
      <rPr>
        <sz val="12"/>
        <rFont val="Arial"/>
        <family val="2"/>
        <charset val="238"/>
      </rPr>
      <t xml:space="preserve">
F=(547,65-105 -7-5-10,00-6-8,50-8,50)*2,10 = 835,07 m2 </t>
    </r>
  </si>
  <si>
    <r>
      <t xml:space="preserve">Wykonanie warstwy odsączającej warstwa odsączająca –kruszywo    Gf85  o gr 10 cm - </t>
    </r>
    <r>
      <rPr>
        <b/>
        <sz val="12"/>
        <rFont val="Arial"/>
        <family val="2"/>
        <charset val="238"/>
      </rPr>
      <t>pod zjazdy</t>
    </r>
  </si>
  <si>
    <r>
      <t xml:space="preserve">Odcinek nr 1  od  ul.Bolesława Wysokiego -  zjazdy 
</t>
    </r>
    <r>
      <rPr>
        <sz val="12"/>
        <rFont val="Arial"/>
        <family val="2"/>
        <charset val="238"/>
      </rPr>
      <t xml:space="preserve">F=( 4+8)*2*0,5*7+(4,30+8,30)*0,5*1,5+(5+9)*0,5*2=107,45 m2 </t>
    </r>
    <r>
      <rPr>
        <u/>
        <sz val="12"/>
        <rFont val="Arial"/>
        <family val="2"/>
        <charset val="238"/>
      </rPr>
      <t xml:space="preserve">
Odcinek nr 2 w kierinku  miejscowości Gliniany  - zjazdy
</t>
    </r>
    <r>
      <rPr>
        <sz val="12"/>
        <rFont val="Arial"/>
        <family val="2"/>
        <charset val="238"/>
      </rPr>
      <t>F=(4+8)*2*0,5+4*2,80+(3+7)*2*0,5+3,2*2+(5+9)*2*0,5+5,0*3,2=69,60 m2</t>
    </r>
  </si>
  <si>
    <r>
      <t xml:space="preserve">Wyrównane  istniejącej  podbudowy tłuczniowej  mieszanką z kruszywa stabilizowanego mechanicznie 0/31,5 mm i  gr. 5 - 10cm  </t>
    </r>
    <r>
      <rPr>
        <b/>
        <i/>
        <sz val="12"/>
        <rFont val="Arial"/>
        <family val="2"/>
        <charset val="238"/>
      </rPr>
      <t xml:space="preserve">- chodniki i zjazdy </t>
    </r>
  </si>
  <si>
    <r>
      <rPr>
        <u/>
        <sz val="12"/>
        <rFont val="Arial"/>
        <family val="2"/>
        <charset val="238"/>
      </rPr>
      <t xml:space="preserve">Odcinek nr 1  od  ul. Bolesława Wysokiego  chodniki </t>
    </r>
    <r>
      <rPr>
        <sz val="12"/>
        <rFont val="Arial"/>
        <family val="2"/>
        <charset val="238"/>
      </rPr>
      <t xml:space="preserve">
F=(178,8 ) *2,0+32,90*2,0+217,50*1,5+145,00+130,00*1,50 - 107,45  = 982,20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
</t>
    </r>
    <r>
      <rPr>
        <u/>
        <sz val="12"/>
        <rFont val="Arial"/>
        <family val="2"/>
        <charset val="238"/>
      </rPr>
      <t xml:space="preserve">Odcinek nr 1  od  ul. Bolesława Wysokiego -zjazdy </t>
    </r>
    <r>
      <rPr>
        <sz val="12"/>
        <rFont val="Arial"/>
        <family val="2"/>
        <charset val="238"/>
      </rPr>
      <t xml:space="preserve">
F=  107,45  m2 
</t>
    </r>
    <r>
      <rPr>
        <u/>
        <sz val="12"/>
        <color rgb="FFFF0000"/>
        <rFont val="Arial"/>
        <family val="2"/>
        <charset val="238"/>
      </rPr>
      <t/>
    </r>
  </si>
  <si>
    <r>
      <t xml:space="preserve">Odcinek nr 2 w kierinku  miejscowości Gliniany  - zjazdy
</t>
    </r>
    <r>
      <rPr>
        <sz val="12"/>
        <rFont val="Arial"/>
        <family val="2"/>
        <charset val="238"/>
      </rPr>
      <t>F=(4+8)*2*0,5+4*2,80+(3+7)*2*0,5+3,2*2+(5+9)*2*0,5+5,0*3,2=69,60 m2</t>
    </r>
  </si>
  <si>
    <r>
      <rPr>
        <u/>
        <sz val="12"/>
        <rFont val="Arial"/>
        <family val="2"/>
        <charset val="238"/>
      </rPr>
      <t xml:space="preserve">Odcinek nr 1  od  ul. Bolesława Wysokiego  chodniki 
</t>
    </r>
    <r>
      <rPr>
        <sz val="12"/>
        <rFont val="Arial"/>
        <family val="2"/>
        <charset val="238"/>
      </rPr>
      <t xml:space="preserve">F=(178,8 ) *2,0+32,90*2,0+217,50*1,5+145,00+130,00*1,50 - 107,45  = 982,20 m2 </t>
    </r>
    <r>
      <rPr>
        <u/>
        <sz val="12"/>
        <rFont val="Arial"/>
        <family val="2"/>
        <charset val="238"/>
      </rPr>
      <t xml:space="preserve">
Odcinek nr 1  od  ul. Bolesława Wysokiego  chodniki - w miejscu rozebranego chodnika  z kb br 8 cm  
</t>
    </r>
    <r>
      <rPr>
        <sz val="12"/>
        <rFont val="Arial"/>
        <family val="2"/>
        <charset val="238"/>
      </rPr>
      <t>F=25,42*1,50  =38,10  m</t>
    </r>
    <r>
      <rPr>
        <vertAlign val="superscript"/>
        <sz val="12"/>
        <rFont val="Arial"/>
        <family val="2"/>
        <charset val="238"/>
      </rPr>
      <t xml:space="preserve">2 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 xml:space="preserve">Odcinek nr 2  w kierunku   miejscowości Gliniany -chodniki </t>
    </r>
    <r>
      <rPr>
        <sz val="12"/>
        <rFont val="Arial"/>
        <family val="2"/>
        <charset val="238"/>
      </rPr>
      <t xml:space="preserve">
F=(547,65-105-6,50-10,00-4,50-4,50-6,00-3,50-5,50)*2,0=804,30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</t>
    </r>
  </si>
  <si>
    <r>
      <rPr>
        <u/>
        <sz val="12"/>
        <rFont val="Arial"/>
        <family val="2"/>
        <charset val="238"/>
      </rPr>
      <t xml:space="preserve">Odcinek nr 1  od  ul.Bolesława Wysokiego -  zjazdy 
</t>
    </r>
    <r>
      <rPr>
        <sz val="12"/>
        <rFont val="Arial"/>
        <family val="2"/>
        <charset val="238"/>
      </rPr>
      <t xml:space="preserve">F=( 4+8)*2*0,5*7+(4,30+8,30)*0,5*1,5+(5+9)*0,5*2=107,45 m2 </t>
    </r>
    <r>
      <rPr>
        <u/>
        <sz val="12"/>
        <rFont val="Arial"/>
        <family val="2"/>
        <charset val="238"/>
      </rPr>
      <t xml:space="preserve">
Odcinek nr 2 w kierinku  miejscowości Gliniany  - zjazdy
</t>
    </r>
    <r>
      <rPr>
        <sz val="12"/>
        <rFont val="Arial"/>
        <family val="2"/>
        <charset val="238"/>
      </rPr>
      <t>F=(4+8)*2*0,5+4*2,80+(3+7)*2*0,5+3,2*2+(5+9)*2*0,5+5,0*3,2=69,60 m2</t>
    </r>
  </si>
  <si>
    <r>
      <t>Ułozenie nawierzchni  SMA   11 PMB  25/55-60 o gr. 5cm w miejscu wykonywanych robót  wraz z oczyszczeniem i skropieniem  w ilości do 0, 3 - 0,5 kg/m</t>
    </r>
    <r>
      <rPr>
        <i/>
        <vertAlign val="superscript"/>
        <sz val="12"/>
        <rFont val="Arial"/>
        <family val="2"/>
        <charset val="238"/>
      </rPr>
      <t>2</t>
    </r>
    <r>
      <rPr>
        <i/>
        <sz val="12"/>
        <rFont val="Arial"/>
        <family val="2"/>
        <charset val="238"/>
      </rPr>
      <t xml:space="preserve"> - warstwa  ścieralna na ciągu głównym </t>
    </r>
  </si>
  <si>
    <r>
      <rPr>
        <u/>
        <sz val="12"/>
        <rFont val="Arial"/>
        <family val="2"/>
        <charset val="238"/>
      </rPr>
      <t xml:space="preserve">Odcinek nr 1  od  ul.Bolesława Wysokiego </t>
    </r>
    <r>
      <rPr>
        <sz val="12"/>
        <rFont val="Arial"/>
        <family val="2"/>
        <charset val="238"/>
      </rPr>
      <t xml:space="preserve">
L=8*7+8,30+9 =89,30  m
</t>
    </r>
    <r>
      <rPr>
        <u/>
        <sz val="12"/>
        <rFont val="Arial"/>
        <family val="2"/>
        <charset val="238"/>
      </rPr>
      <t xml:space="preserve">Odcinek nr 2 w kierinku  miejscowość Gliniany  </t>
    </r>
    <r>
      <rPr>
        <sz val="12"/>
        <rFont val="Arial"/>
        <family val="2"/>
        <charset val="238"/>
      </rPr>
      <t xml:space="preserve">
L= 3+8+8+7+9+8=43,00</t>
    </r>
  </si>
  <si>
    <r>
      <rPr>
        <u/>
        <sz val="12"/>
        <rFont val="Arial"/>
        <family val="2"/>
        <charset val="238"/>
      </rPr>
      <t xml:space="preserve">Odcinek nr 2 w kierinku  miejscowość Gliniany  </t>
    </r>
    <r>
      <rPr>
        <sz val="12"/>
        <rFont val="Arial"/>
        <family val="2"/>
        <charset val="238"/>
      </rPr>
      <t xml:space="preserve">
L= 56,00m</t>
    </r>
  </si>
  <si>
    <t>M=25 Mg</t>
  </si>
  <si>
    <t>Rozebranie istniejących krawęzników  ( wtopionych i wystających )  kamiennych na ławie betonowej  wraz z wywozem materiału  na odległość  do 15 km .W  cenie jednostkowej należy przewidzieć  utylizację materiału - ław , roboty ziemne związane z ich wydobyciem.Matriał  własnością Zamawiającego. Do pozostawienia  opornik  do ponownego wbudowania w chodnik w km 0+000  do km 0+293 str.L</t>
  </si>
  <si>
    <r>
      <rPr>
        <u/>
        <sz val="12"/>
        <rFont val="Arial"/>
        <family val="2"/>
        <charset val="238"/>
      </rPr>
      <t xml:space="preserve">odcinek nr 1  DOMASZKÓW </t>
    </r>
    <r>
      <rPr>
        <sz val="12"/>
        <rFont val="Arial"/>
        <family val="2"/>
        <charset val="238"/>
      </rPr>
      <t xml:space="preserve">
L=175,00 m</t>
    </r>
    <r>
      <rPr>
        <u/>
        <sz val="12"/>
        <color rgb="FFFF0000"/>
        <rFont val="Arial"/>
        <family val="2"/>
        <charset val="238"/>
      </rPr>
      <t/>
    </r>
  </si>
  <si>
    <t xml:space="preserve">Rozebranie  obrzeży i oporników betonowych posadowionych na ławie gruzobetonowej  wraz z rozbiórką ławy i  wywozemna odl. do 15 km .  W  cenie jednostkowej należy przewidzieć  utylizację materiału. </t>
  </si>
  <si>
    <t xml:space="preserve">Rozebranie  elementów z kostki kamiennej  16/18 , 9/11  wraz z podsypką i  podbudową . Materiał własnopścią Zamawiającego - do  oczyszczenia i zwiezienia w miejsce wskazane - do 10km. Pozostały matriał z rozbiórki do wywozu na odległość do 15 km W cenie nalezy ująć wszelkie roboty uwzględniające wydobycie oraz  utylizację . </t>
  </si>
  <si>
    <t xml:space="preserve">Przełożenie  chodnika z  płyt betonowych 35*35 cm  w miejscu właczenia  na podsypce cementowo- piaskowej . Płyty materaił nowy  w  80%. Pozostałe płyty do utylizacji i wywozu na odległośc do 15 km . W cenie jednostkowej należy ująć koszty wydobycia , utylizacji , transport. </t>
  </si>
  <si>
    <t>Regulacja istniejących  wpustów deszczowych typowych drogowych fi - 500  wraz z  oczyszczeniem przykanalika  , wraz z uzupełnieniem elementów żeliw , pierścieni  itp.n=1,0</t>
  </si>
  <si>
    <t>Rozebranie nawierzchni zjazdów  o nawierzchni  asfaltobettonowej  o gr 5-8 cm  . Materiał do wywozu na odległość do 15km W cenie jednostkowej należy ując koszt utylizacji .</t>
  </si>
  <si>
    <t xml:space="preserve">Zdjęcie i ponowne zamontowanie oznakowania istniejącego pionowego na czas wykonywania robót. Tablice typu E 
i znaki drogowe typu A,B,C z ponwnym zamontowaniem na ławie betonowej </t>
  </si>
  <si>
    <r>
      <t xml:space="preserve">Frezowanie na glebokość średnią  5  - 8 cm  istniejącej warstwy ścieralnej wraz  ze składowaniem w celu ponownego wbudowania  w pobocze . Materiał do skałdowania i ponownego wbudowania . Odległość transportowa do 5 km. </t>
    </r>
    <r>
      <rPr>
        <b/>
        <i/>
        <sz val="12"/>
        <rFont val="Arial"/>
        <family val="2"/>
        <charset val="238"/>
      </rPr>
      <t xml:space="preserve">Odcinek przewidziany do wymiany  o dł. 900,00 m </t>
    </r>
  </si>
  <si>
    <r>
      <rPr>
        <u/>
        <sz val="12"/>
        <rFont val="Arial"/>
        <family val="2"/>
        <charset val="238"/>
      </rPr>
      <t xml:space="preserve">Odcinek nr  1 DOMASZKÓW </t>
    </r>
    <r>
      <rPr>
        <sz val="12"/>
        <rFont val="Arial"/>
        <family val="2"/>
        <charset val="238"/>
      </rPr>
      <t xml:space="preserve">
F=(200-7,00)*2,00 -4,60*2= 376,8 m</t>
    </r>
    <r>
      <rPr>
        <vertAlign val="superscript"/>
        <sz val="12"/>
        <rFont val="Arial"/>
        <family val="2"/>
        <charset val="238"/>
      </rPr>
      <t xml:space="preserve">2
</t>
    </r>
    <r>
      <rPr>
        <sz val="12"/>
        <rFont val="Arial"/>
        <family val="2"/>
        <charset val="238"/>
      </rPr>
      <t xml:space="preserve">
</t>
    </r>
    <r>
      <rPr>
        <u/>
        <sz val="12"/>
        <rFont val="Arial"/>
        <family val="2"/>
        <charset val="238"/>
      </rPr>
      <t>Odcinek nr 2 DOMASZKÓW 
F=8,90*0,5*(1,5+1,0)= 11,25  m2</t>
    </r>
  </si>
  <si>
    <r>
      <t xml:space="preserve">odcinek nr 1  DOMASZKÓW 
</t>
    </r>
    <r>
      <rPr>
        <sz val="12"/>
        <rFont val="Arial"/>
        <family val="2"/>
        <charset val="238"/>
      </rPr>
      <t>F= 5,00 * 1,50 = 7,50 m</t>
    </r>
    <r>
      <rPr>
        <vertAlign val="superscript"/>
        <sz val="12"/>
        <rFont val="Arial"/>
        <family val="2"/>
        <charset val="238"/>
      </rPr>
      <t>2</t>
    </r>
    <r>
      <rPr>
        <sz val="12"/>
        <rFont val="Arial"/>
        <family val="2"/>
        <charset val="238"/>
      </rPr>
      <t xml:space="preserve"> 
</t>
    </r>
    <r>
      <rPr>
        <u/>
        <sz val="12"/>
        <rFont val="Arial"/>
        <family val="2"/>
        <charset val="238"/>
      </rPr>
      <t xml:space="preserve">odcinek nr 2  DOMASZKÓW </t>
    </r>
    <r>
      <rPr>
        <sz val="12"/>
        <rFont val="Arial"/>
        <family val="2"/>
        <charset val="238"/>
      </rPr>
      <t xml:space="preserve">
F= 293 * 1,75 - 22,25 =  417,25 m</t>
    </r>
    <r>
      <rPr>
        <vertAlign val="superscript"/>
        <sz val="12"/>
        <rFont val="Arial"/>
        <family val="2"/>
        <charset val="238"/>
      </rPr>
      <t xml:space="preserve">2 </t>
    </r>
  </si>
  <si>
    <t xml:space="preserve">Korytowanie do głebokości  10 cm  wraz z profilowaniem  pod nawierzchnię  chodnika i zjazdów . Materiał  częściwo do wbudowania .Nadmiar  materiału  do wywozu na odległość do  15 km . W cenie jednostkowej  należy uwzglednic koszty składoania i utylizacji . </t>
  </si>
  <si>
    <t>Nawierzchnia z kostki betonowej  brukowej gr 8 cm -na podsypce  z miału kamiennego o gr 3 cm :  kolor kostki szary . Kostka  spoinowana piaskiem drobnym wraz uzupełnieniem podbudowy - odcinek nr 2</t>
  </si>
  <si>
    <t xml:space="preserve">n= 4 </t>
  </si>
  <si>
    <t>n=8 m</t>
  </si>
  <si>
    <r>
      <rPr>
        <u/>
        <sz val="12"/>
        <rFont val="Arial"/>
        <family val="2"/>
        <charset val="238"/>
      </rPr>
      <t xml:space="preserve">Odcinek nr 1  od  ul.Bolesława Wysokiego </t>
    </r>
    <r>
      <rPr>
        <sz val="12"/>
        <rFont val="Arial"/>
        <family val="2"/>
        <charset val="238"/>
      </rPr>
      <t xml:space="preserve">
L=547,50-105-5-3-5,5-2+5,0=432,00  m
</t>
    </r>
    <r>
      <rPr>
        <u/>
        <sz val="12"/>
        <rFont val="Arial"/>
        <family val="2"/>
        <charset val="238"/>
      </rPr>
      <t xml:space="preserve">Odcinek nr 2 w kierinku  miejscowość Gliniany  </t>
    </r>
    <r>
      <rPr>
        <sz val="12"/>
        <rFont val="Arial"/>
        <family val="2"/>
        <charset val="238"/>
      </rPr>
      <t xml:space="preserve">
L= 155,50m </t>
    </r>
  </si>
  <si>
    <t>Kosztorys  nr 2    ( netto) )</t>
  </si>
  <si>
    <t>Kosztorys  nr 3    ( netto) )</t>
  </si>
  <si>
    <t xml:space="preserve">WARTOŚĆ  BRUTTO  </t>
  </si>
  <si>
    <t xml:space="preserve">RAZEM  NAWIERZCHNIE </t>
  </si>
  <si>
    <r>
      <t>F=0,30*216,00 =64,80 m</t>
    </r>
    <r>
      <rPr>
        <vertAlign val="superscript"/>
        <sz val="12"/>
        <rFont val="Arial"/>
        <family val="2"/>
        <charset val="238"/>
      </rPr>
      <t>2</t>
    </r>
  </si>
  <si>
    <t>Przełożenie istniejących krawężników  kamiennych wraz z segregacją i docięciem krawędzi uszkodzonych.Krawezniki  układać na ławie betonowej po śladzie ich  wydobycia . Krawężniki  poniżej  45 cm - do utylizacji. Wykonawca w trakcie robót  rozbiórkowych odcinka nr 1 dokona oceny ilości  krawężnika do pozostawienia. lokalizacja - wyspa w km 0+455 , rejon działek 9/1 , 91/1</t>
  </si>
  <si>
    <t xml:space="preserve">L=73,50+24,75 =296,00m </t>
  </si>
  <si>
    <r>
      <rPr>
        <u/>
        <sz val="12"/>
        <rFont val="Arial"/>
        <family val="2"/>
        <charset val="238"/>
      </rPr>
      <t xml:space="preserve">Odcinek nr 1  od  ul.Bolesława Wysokiego </t>
    </r>
    <r>
      <rPr>
        <sz val="12"/>
        <rFont val="Arial"/>
        <family val="2"/>
        <charset val="238"/>
      </rPr>
      <t xml:space="preserve">
F=329,42+588,20+504,95+595,40+627,25+725,80+300,50-47,50 =3624,52 m2 </t>
    </r>
  </si>
  <si>
    <r>
      <rPr>
        <u/>
        <sz val="12"/>
        <rFont val="Arial"/>
        <family val="2"/>
        <charset val="238"/>
      </rPr>
      <t xml:space="preserve">Odcinek nr 1  od  ul.Bolesława Wysokiego </t>
    </r>
    <r>
      <rPr>
        <sz val="12"/>
        <rFont val="Arial"/>
        <family val="2"/>
        <charset val="238"/>
      </rPr>
      <t xml:space="preserve">
F=329,42+588,20+504,95+595,40+627,25+725,80+300,50-47,00 =3 624,52 m2 </t>
    </r>
  </si>
  <si>
    <r>
      <t>Skropienie i oczyszczenie  nawierzchnia  F=3624,52 m</t>
    </r>
    <r>
      <rPr>
        <vertAlign val="superscript"/>
        <sz val="12"/>
        <rFont val="Arial"/>
        <family val="2"/>
        <charset val="238"/>
      </rPr>
      <t>2</t>
    </r>
  </si>
  <si>
    <t xml:space="preserve">Stabilizacja pod ławy  krawężnikowe - tylko odcinek   kierunek  Domaszków </t>
  </si>
  <si>
    <t>F=0,30*(398,65+43)=132,50</t>
  </si>
  <si>
    <r>
      <t>m</t>
    </r>
    <r>
      <rPr>
        <vertAlign val="superscript"/>
        <sz val="14"/>
        <color theme="1"/>
        <rFont val="Arial"/>
        <family val="2"/>
        <charset val="238"/>
      </rPr>
      <t>2</t>
    </r>
  </si>
  <si>
    <t xml:space="preserve">RAZEM  KOSZTORYS NR 2  BRUTTO </t>
  </si>
  <si>
    <t xml:space="preserve">AZEM  KOSZTORYS NR 2  BRUTTO </t>
  </si>
  <si>
    <t xml:space="preserve">opracował </t>
  </si>
  <si>
    <t>WZÓR  KOSZTOTYSU  OFERTOWEGO    NR 1 - załącznik nr 10A do SIWZ</t>
  </si>
  <si>
    <t>WZÓR  KOSZTOTYSU  OFERTOWEGO   NR 2 - załącznik nr 10B do SIWZ</t>
  </si>
  <si>
    <t>WZÓR  KOSZTORYSU  OFERTOWEGO NR 3 - załącznik nr 10C do SIWZ</t>
  </si>
  <si>
    <t xml:space="preserve">                   CZĘŚĆ DROGOWA Odcinek nr 1   chodnik o długości  l= 212 m ( - 12 ,00 m odcinek  Lubiąż-Domaszków ) 
CZĘŚĆ DROGOWA Odcinek nr 2  chodnik o długości  l= 293,55 m</t>
  </si>
  <si>
    <t>KOSZTORYS OFERTOWY OPRACOWANY NA PODSTAWIE  PRZEDMIARU  ROBÓT 
PRZEBUDOWA  DROGI POWIATOWEJ  nr 1286 D  LUBIĄŻ- DOMASZKÓW - KOSZTY KWALIFIKOWANE</t>
  </si>
  <si>
    <t>KOSZTORYS   OFERTOWY OPRACOWANY   NA    PODSTAWIE  PRZEDMIARU  ROBÓT 
PRZEBUDOWA  DROGI  POWIATOWEJ  nr 1286 D  MIEJSCOWOŚCOWOŚĆ DOMASZKÓW - KOSZTY NIEKWALIFIKOWANE</t>
  </si>
  <si>
    <t>KOSZTORYS   IOFERTOWY OPRACOWANY   NA    PODSTAWIE  PRZEDMIARU  ROBÓT 
PRZEBUDOWA  DROGI  POWIATOWEJ  nr 1286 D  MIEJSCOWOŚĆ LUBIĄŻ - KOSZTY NIEKWALIFIKOWANE</t>
  </si>
  <si>
    <t>TABELA  ELEMENTÓW  SCALONYCH OPRACOWANA NA PODSTAWIE KOSZTORYSU  OFERTOWEGO 
DLA ZADANIA NR 1
PRZEBUDOWA  DROGI  POWIATOWEJ  nr 1286 D  odcinek LUBIĄŻ-DOMASZKÓW - KOSZTY KWALIFIKOWANE</t>
  </si>
  <si>
    <r>
      <rPr>
        <i/>
        <sz val="14"/>
        <rFont val="Arial"/>
        <family val="2"/>
        <charset val="238"/>
      </rPr>
      <t>TABELA  ELEMENTÓW  SCALONYCH OPRACOWANA  NA  PODSTAWIE   KOSZTORYSU OFERTOWEGO    
DLA ZADANIA NR 2  
                 PRZEBUDOWA  DROGI  POWIATOWEJ  nr 1286 D  MIEJSCOWOŚCOWOŚĆ  DOMASZKÓW  - KOSZTY NIEKWALIFIKOWANE
Odcinek nr 1   chodnik o długości  l= 212 m ( - 12 ,00 m odcinek  Lubiąż-Domaszków ) 
CZĘŚĆ DROGOWA Odcinek nr 2  chodnik o długości  l= 293,55 m</t>
    </r>
    <r>
      <rPr>
        <b/>
        <i/>
        <sz val="16"/>
        <rFont val="Arial"/>
        <family val="2"/>
        <charset val="238"/>
      </rPr>
      <t xml:space="preserve">
</t>
    </r>
  </si>
  <si>
    <t>TABELA  ELEMENTÓW  SCALONYCH OPRACOWANA  NA  PODSTAWIE   KOSZTORYSU OFERTOWEGO    
DLA ZADANIA NR 3 
PRZEBUDOWA DROGI POWIATOWEJ NR 1286 D MIEJSCOWOŚĆ LUBIĄŻ - KOSZTY NIEKWALIFIKOWANE
Odcinek nr 1   centrum ( ul. B.WYSOKIEGO)
                                Odcinek nr 2  chodnik chodnik w kierunku Glinian ( od km 0+105 do km 0+547,5)</t>
  </si>
  <si>
    <t xml:space="preserve">n=15 sztuk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</si>
</sst>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7" formatCode="#,##0.00\ &quot;zł&quot;;\-#,##0.00\ &quot;zł&quot;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&quot; zł&quot;"/>
    <numFmt numFmtId="165" formatCode="_-* #,##0.00&quot; zł&quot;_-;\-* #,##0.00&quot; zł&quot;_-;_-* \-??&quot; zł&quot;_-;_-@_-"/>
    <numFmt numFmtId="166" formatCode="_-* #,##0.00\ _z_ł_-;\-* #,##0.00\ _z_ł_-;_-* \-??\ _z_ł_-;_-@_-"/>
    <numFmt numFmtId="167" formatCode="#,##0.00\ &quot;zł&quot;"/>
    <numFmt numFmtId="168" formatCode="#,##0.00_ ;\-#,##0.00\ "/>
    <numFmt numFmtId="169" formatCode="_-* #,##0\ &quot;zł&quot;_-;\-* #,##0\ &quot;zł&quot;_-;_-* &quot;-&quot;??\ &quot;zł&quot;_-;_-@_-"/>
  </numFmts>
  <fonts count="43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u/>
      <sz val="12"/>
      <name val="Arial"/>
      <family val="2"/>
      <charset val="238"/>
    </font>
    <font>
      <sz val="14"/>
      <name val="Arial"/>
      <family val="2"/>
      <charset val="238"/>
    </font>
    <font>
      <b/>
      <i/>
      <sz val="12"/>
      <name val="Arial"/>
      <family val="2"/>
      <charset val="238"/>
    </font>
    <font>
      <b/>
      <i/>
      <sz val="14"/>
      <name val="Arial"/>
      <family val="2"/>
      <charset val="238"/>
    </font>
    <font>
      <vertAlign val="superscript"/>
      <sz val="14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i/>
      <sz val="18"/>
      <name val="Arial"/>
      <family val="2"/>
      <charset val="238"/>
    </font>
    <font>
      <b/>
      <i/>
      <sz val="14"/>
      <name val="Arial CE"/>
      <charset val="238"/>
    </font>
    <font>
      <b/>
      <i/>
      <sz val="16"/>
      <name val="Arial"/>
      <family val="2"/>
      <charset val="238"/>
    </font>
    <font>
      <b/>
      <sz val="12"/>
      <name val="Arial"/>
      <family val="2"/>
      <charset val="238"/>
    </font>
    <font>
      <sz val="10"/>
      <name val="Arial CE"/>
      <charset val="238"/>
    </font>
    <font>
      <i/>
      <sz val="12"/>
      <name val="Arial CE"/>
      <charset val="238"/>
    </font>
    <font>
      <sz val="12"/>
      <name val="Arial CE"/>
      <charset val="238"/>
    </font>
    <font>
      <b/>
      <sz val="18"/>
      <name val="Times New Roman"/>
      <family val="1"/>
      <charset val="238"/>
    </font>
    <font>
      <u/>
      <sz val="12"/>
      <color rgb="FFFF0000"/>
      <name val="Arial"/>
      <family val="2"/>
      <charset val="238"/>
    </font>
    <font>
      <sz val="14"/>
      <name val="Arial CE"/>
      <charset val="238"/>
    </font>
    <font>
      <b/>
      <i/>
      <sz val="18"/>
      <name val="Arial CE"/>
      <charset val="238"/>
    </font>
    <font>
      <i/>
      <sz val="11"/>
      <name val="Arial"/>
      <family val="2"/>
      <charset val="238"/>
    </font>
    <font>
      <sz val="12"/>
      <color rgb="FFFF0000"/>
      <name val="Arial"/>
      <family val="2"/>
      <charset val="238"/>
    </font>
    <font>
      <sz val="10"/>
      <name val="Arial"/>
      <charset val="238"/>
    </font>
    <font>
      <b/>
      <u/>
      <sz val="12"/>
      <name val="Arial"/>
      <family val="2"/>
      <charset val="238"/>
    </font>
    <font>
      <i/>
      <vertAlign val="superscript"/>
      <sz val="12"/>
      <name val="Arial"/>
      <family val="2"/>
      <charset val="238"/>
    </font>
    <font>
      <vertAlign val="superscript"/>
      <sz val="12"/>
      <name val="Arial CE"/>
      <charset val="238"/>
    </font>
    <font>
      <sz val="22"/>
      <name val="Century Gothic"/>
      <family val="2"/>
      <charset val="238"/>
    </font>
    <font>
      <b/>
      <sz val="22"/>
      <name val="Century Gothic"/>
      <family val="2"/>
      <charset val="238"/>
    </font>
    <font>
      <sz val="18"/>
      <name val="Arial"/>
      <family val="2"/>
      <charset val="238"/>
    </font>
    <font>
      <i/>
      <sz val="14"/>
      <name val="Arial"/>
      <family val="2"/>
      <charset val="238"/>
    </font>
    <font>
      <i/>
      <sz val="18"/>
      <name val="Arial"/>
      <family val="2"/>
      <charset val="238"/>
    </font>
    <font>
      <i/>
      <sz val="14"/>
      <name val="Arial CE"/>
      <charset val="238"/>
    </font>
    <font>
      <sz val="10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i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vertAlign val="superscript"/>
      <sz val="14"/>
      <color theme="1"/>
      <name val="Arial"/>
      <family val="2"/>
      <charset val="238"/>
    </font>
    <font>
      <b/>
      <sz val="1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medium">
        <color indexed="64"/>
      </right>
      <top/>
      <bottom style="dashDot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6" fontId="5" fillId="0" borderId="0" applyFill="0" applyBorder="0" applyAlignment="0" applyProtection="0"/>
    <xf numFmtId="166" fontId="2" fillId="0" borderId="0" applyFill="0" applyBorder="0" applyAlignment="0" applyProtection="0"/>
    <xf numFmtId="166" fontId="1" fillId="0" borderId="0" applyFill="0" applyBorder="0" applyAlignment="0" applyProtection="0"/>
    <xf numFmtId="0" fontId="2" fillId="0" borderId="0"/>
    <xf numFmtId="44" fontId="25" fillId="0" borderId="0" applyFont="0" applyFill="0" applyBorder="0" applyAlignment="0" applyProtection="0"/>
  </cellStyleXfs>
  <cellXfs count="235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7" fontId="7" fillId="0" borderId="1" xfId="3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17" fillId="0" borderId="22" xfId="0" applyFont="1" applyFill="1" applyBorder="1" applyAlignment="1">
      <alignment horizontal="left" vertical="center" wrapText="1"/>
    </xf>
    <xf numFmtId="0" fontId="18" fillId="0" borderId="2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166" fontId="8" fillId="0" borderId="0" xfId="1" applyFont="1" applyAlignment="1">
      <alignment horizontal="center" wrapText="1"/>
    </xf>
    <xf numFmtId="167" fontId="2" fillId="0" borderId="0" xfId="0" applyNumberFormat="1" applyFont="1" applyAlignment="1">
      <alignment horizontal="center" wrapText="1"/>
    </xf>
    <xf numFmtId="165" fontId="12" fillId="0" borderId="18" xfId="1" applyNumberFormat="1" applyFont="1" applyFill="1" applyBorder="1" applyAlignment="1" applyProtection="1">
      <alignment horizontal="center" vertical="center" wrapText="1"/>
    </xf>
    <xf numFmtId="0" fontId="1" fillId="0" borderId="0" xfId="0" applyFont="1"/>
    <xf numFmtId="0" fontId="1" fillId="0" borderId="0" xfId="0" applyFont="1" applyFill="1" applyAlignment="1">
      <alignment wrapText="1"/>
    </xf>
    <xf numFmtId="165" fontId="12" fillId="3" borderId="13" xfId="1" applyNumberFormat="1" applyFont="1" applyFill="1" applyBorder="1" applyAlignment="1" applyProtection="1">
      <alignment horizontal="center" vertical="center" wrapText="1"/>
    </xf>
    <xf numFmtId="167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wrapText="1"/>
    </xf>
    <xf numFmtId="43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center" wrapText="1"/>
    </xf>
    <xf numFmtId="165" fontId="22" fillId="4" borderId="13" xfId="3" applyNumberFormat="1" applyFont="1" applyFill="1" applyBorder="1" applyAlignment="1" applyProtection="1">
      <alignment horizontal="center" vertical="center" wrapText="1"/>
    </xf>
    <xf numFmtId="165" fontId="12" fillId="0" borderId="16" xfId="1" applyNumberFormat="1" applyFont="1" applyFill="1" applyBorder="1" applyAlignment="1" applyProtection="1">
      <alignment horizontal="center" vertical="center" wrapText="1"/>
    </xf>
    <xf numFmtId="165" fontId="12" fillId="5" borderId="13" xfId="1" applyNumberFormat="1" applyFont="1" applyFill="1" applyBorder="1" applyAlignment="1" applyProtection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6" fontId="8" fillId="0" borderId="3" xfId="1" applyFont="1" applyBorder="1" applyAlignment="1">
      <alignment horizontal="center" vertical="center" wrapText="1"/>
    </xf>
    <xf numFmtId="167" fontId="8" fillId="0" borderId="3" xfId="0" applyNumberFormat="1" applyFont="1" applyFill="1" applyBorder="1" applyAlignment="1">
      <alignment horizontal="center" vertical="center" wrapText="1"/>
    </xf>
    <xf numFmtId="165" fontId="8" fillId="0" borderId="18" xfId="0" applyNumberFormat="1" applyFont="1" applyFill="1" applyBorder="1" applyAlignment="1">
      <alignment horizontal="center" vertical="center" wrapText="1"/>
    </xf>
    <xf numFmtId="165" fontId="9" fillId="0" borderId="32" xfId="3" applyNumberFormat="1" applyFont="1" applyFill="1" applyBorder="1" applyAlignment="1" applyProtection="1">
      <alignment horizontal="center" vertical="center" wrapText="1"/>
    </xf>
    <xf numFmtId="165" fontId="12" fillId="3" borderId="13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8" fillId="0" borderId="1" xfId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48" xfId="0" applyFont="1" applyBorder="1" applyAlignment="1">
      <alignment vertical="center" wrapText="1"/>
    </xf>
    <xf numFmtId="0" fontId="14" fillId="0" borderId="49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165" fontId="12" fillId="5" borderId="54" xfId="1" applyNumberFormat="1" applyFont="1" applyFill="1" applyBorder="1" applyAlignment="1" applyProtection="1">
      <alignment horizontal="center" vertical="center" wrapText="1"/>
    </xf>
    <xf numFmtId="165" fontId="12" fillId="0" borderId="0" xfId="1" applyNumberFormat="1" applyFont="1" applyFill="1" applyBorder="1" applyAlignment="1" applyProtection="1">
      <alignment horizontal="center" vertical="center" wrapText="1"/>
    </xf>
    <xf numFmtId="43" fontId="1" fillId="0" borderId="0" xfId="0" applyNumberFormat="1" applyFont="1" applyAlignment="1">
      <alignment wrapText="1"/>
    </xf>
    <xf numFmtId="165" fontId="9" fillId="0" borderId="32" xfId="3" applyNumberFormat="1" applyFont="1" applyFill="1" applyBorder="1" applyAlignment="1" applyProtection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165" fontId="12" fillId="0" borderId="49" xfId="1" applyNumberFormat="1" applyFont="1" applyFill="1" applyBorder="1" applyAlignment="1" applyProtection="1">
      <alignment horizontal="center" vertical="center" wrapText="1"/>
    </xf>
    <xf numFmtId="165" fontId="12" fillId="0" borderId="59" xfId="1" applyNumberFormat="1" applyFont="1" applyFill="1" applyBorder="1" applyAlignment="1" applyProtection="1">
      <alignment horizontal="center" vertical="center" wrapText="1"/>
    </xf>
    <xf numFmtId="0" fontId="19" fillId="0" borderId="45" xfId="0" applyFont="1" applyBorder="1" applyAlignment="1">
      <alignment horizontal="right" vertical="center" wrapText="1"/>
    </xf>
    <xf numFmtId="0" fontId="19" fillId="0" borderId="0" xfId="0" applyFont="1" applyBorder="1" applyAlignment="1">
      <alignment horizontal="right" vertical="center" wrapText="1"/>
    </xf>
    <xf numFmtId="43" fontId="8" fillId="0" borderId="0" xfId="0" applyNumberFormat="1" applyFont="1" applyAlignment="1">
      <alignment wrapText="1"/>
    </xf>
    <xf numFmtId="44" fontId="31" fillId="0" borderId="0" xfId="5" applyFont="1" applyFill="1" applyAlignment="1">
      <alignment wrapText="1"/>
    </xf>
    <xf numFmtId="169" fontId="31" fillId="0" borderId="0" xfId="5" applyNumberFormat="1" applyFont="1" applyFill="1" applyAlignment="1">
      <alignment wrapText="1"/>
    </xf>
    <xf numFmtId="0" fontId="36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43" fontId="2" fillId="0" borderId="0" xfId="0" applyNumberFormat="1" applyFont="1" applyAlignment="1">
      <alignment wrapText="1"/>
    </xf>
    <xf numFmtId="0" fontId="35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14" fillId="0" borderId="50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6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32" xfId="0" applyFont="1" applyFill="1" applyBorder="1" applyAlignment="1">
      <alignment horizontal="left" vertical="center" wrapText="1"/>
    </xf>
    <xf numFmtId="0" fontId="1" fillId="0" borderId="3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6" fontId="8" fillId="0" borderId="1" xfId="1" applyFont="1" applyFill="1" applyBorder="1" applyAlignment="1" applyProtection="1">
      <alignment horizontal="center" vertical="center" wrapText="1"/>
    </xf>
    <xf numFmtId="167" fontId="7" fillId="0" borderId="1" xfId="1" applyNumberFormat="1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6" fontId="8" fillId="0" borderId="2" xfId="1" applyFont="1" applyFill="1" applyBorder="1" applyAlignment="1" applyProtection="1">
      <alignment horizontal="center" vertical="center" wrapText="1"/>
    </xf>
    <xf numFmtId="166" fontId="8" fillId="0" borderId="3" xfId="1" applyFont="1" applyFill="1" applyBorder="1" applyAlignment="1" applyProtection="1">
      <alignment horizontal="center" vertical="center" wrapText="1"/>
    </xf>
    <xf numFmtId="167" fontId="7" fillId="0" borderId="2" xfId="1" applyNumberFormat="1" applyFont="1" applyFill="1" applyBorder="1" applyAlignment="1" applyProtection="1">
      <alignment horizontal="center" vertical="center" wrapText="1"/>
    </xf>
    <xf numFmtId="167" fontId="7" fillId="0" borderId="3" xfId="1" applyNumberFormat="1" applyFont="1" applyFill="1" applyBorder="1" applyAlignment="1" applyProtection="1">
      <alignment horizontal="center" vertical="center" wrapText="1"/>
    </xf>
    <xf numFmtId="165" fontId="9" fillId="0" borderId="16" xfId="3" applyNumberFormat="1" applyFont="1" applyFill="1" applyBorder="1" applyAlignment="1" applyProtection="1">
      <alignment horizontal="center" vertical="center" wrapText="1"/>
    </xf>
    <xf numFmtId="165" fontId="9" fillId="0" borderId="18" xfId="3" applyNumberFormat="1" applyFont="1" applyFill="1" applyBorder="1" applyAlignment="1" applyProtection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31" xfId="4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3" fillId="0" borderId="2" xfId="4" applyFont="1" applyBorder="1" applyAlignment="1">
      <alignment horizontal="left" vertical="center" wrapText="1"/>
    </xf>
    <xf numFmtId="0" fontId="3" fillId="0" borderId="3" xfId="4" applyFont="1" applyBorder="1" applyAlignment="1">
      <alignment horizontal="left" vertical="center" wrapText="1"/>
    </xf>
    <xf numFmtId="0" fontId="7" fillId="0" borderId="6" xfId="4" applyFont="1" applyBorder="1" applyAlignment="1">
      <alignment horizontal="center" vertical="center" wrapText="1"/>
    </xf>
    <xf numFmtId="0" fontId="7" fillId="0" borderId="8" xfId="4" applyFont="1" applyBorder="1" applyAlignment="1">
      <alignment horizontal="center" vertical="center" wrapText="1"/>
    </xf>
    <xf numFmtId="166" fontId="8" fillId="0" borderId="7" xfId="1" applyFont="1" applyFill="1" applyBorder="1" applyAlignment="1" applyProtection="1">
      <alignment horizontal="center" vertical="center" wrapText="1"/>
    </xf>
    <xf numFmtId="166" fontId="8" fillId="0" borderId="9" xfId="1" applyFont="1" applyFill="1" applyBorder="1" applyAlignment="1" applyProtection="1">
      <alignment horizontal="center" vertical="center" wrapText="1"/>
    </xf>
    <xf numFmtId="164" fontId="7" fillId="0" borderId="1" xfId="2" applyNumberFormat="1" applyFont="1" applyFill="1" applyBorder="1" applyAlignment="1" applyProtection="1">
      <alignment horizontal="center" vertical="center" wrapText="1"/>
    </xf>
    <xf numFmtId="165" fontId="9" fillId="0" borderId="16" xfId="1" applyNumberFormat="1" applyFont="1" applyFill="1" applyBorder="1" applyAlignment="1" applyProtection="1">
      <alignment horizontal="center" vertical="center" wrapText="1"/>
    </xf>
    <xf numFmtId="165" fontId="9" fillId="0" borderId="18" xfId="1" applyNumberFormat="1" applyFont="1" applyFill="1" applyBorder="1" applyAlignment="1" applyProtection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left" vertical="center" wrapText="1"/>
    </xf>
    <xf numFmtId="0" fontId="1" fillId="0" borderId="31" xfId="0" applyFont="1" applyFill="1" applyBorder="1" applyAlignment="1">
      <alignment horizontal="center" vertical="center" wrapText="1"/>
    </xf>
    <xf numFmtId="165" fontId="9" fillId="0" borderId="32" xfId="1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8" fillId="0" borderId="14" xfId="1" applyFont="1" applyFill="1" applyBorder="1" applyAlignment="1" applyProtection="1">
      <alignment horizontal="center" vertical="center" wrapText="1"/>
    </xf>
    <xf numFmtId="167" fontId="7" fillId="0" borderId="14" xfId="1" applyNumberFormat="1" applyFont="1" applyFill="1" applyBorder="1" applyAlignment="1" applyProtection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7" fontId="7" fillId="0" borderId="2" xfId="3" applyNumberFormat="1" applyFont="1" applyFill="1" applyBorder="1" applyAlignment="1" applyProtection="1">
      <alignment horizontal="center" vertical="center" wrapText="1"/>
    </xf>
    <xf numFmtId="0" fontId="1" fillId="0" borderId="3" xfId="0" applyFont="1" applyBorder="1" applyAlignment="1">
      <alignment horizontal="center"/>
    </xf>
    <xf numFmtId="166" fontId="7" fillId="0" borderId="1" xfId="1" applyFont="1" applyFill="1" applyBorder="1" applyAlignment="1" applyProtection="1">
      <alignment horizontal="center" vertical="center" wrapText="1"/>
    </xf>
    <xf numFmtId="0" fontId="13" fillId="2" borderId="20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3" fillId="2" borderId="21" xfId="0" applyFont="1" applyFill="1" applyBorder="1" applyAlignment="1">
      <alignment horizontal="left" vertical="center" wrapText="1"/>
    </xf>
    <xf numFmtId="0" fontId="16" fillId="0" borderId="3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166" fontId="8" fillId="0" borderId="2" xfId="1" applyFont="1" applyFill="1" applyBorder="1" applyAlignment="1">
      <alignment horizontal="center" vertical="center" wrapText="1"/>
    </xf>
    <xf numFmtId="166" fontId="8" fillId="0" borderId="3" xfId="1" applyFont="1" applyFill="1" applyBorder="1" applyAlignment="1">
      <alignment horizontal="center" vertical="center" wrapText="1"/>
    </xf>
    <xf numFmtId="7" fontId="21" fillId="0" borderId="2" xfId="3" applyNumberFormat="1" applyFont="1" applyFill="1" applyBorder="1" applyAlignment="1" applyProtection="1">
      <alignment horizontal="center" vertical="center" wrapText="1"/>
    </xf>
    <xf numFmtId="7" fontId="21" fillId="0" borderId="3" xfId="3" applyNumberFormat="1" applyFont="1" applyFill="1" applyBorder="1" applyAlignment="1" applyProtection="1">
      <alignment horizontal="center" vertical="center" wrapText="1"/>
    </xf>
    <xf numFmtId="2" fontId="18" fillId="0" borderId="2" xfId="0" applyNumberFormat="1" applyFont="1" applyFill="1" applyBorder="1" applyAlignment="1">
      <alignment horizontal="center" vertical="center" wrapText="1"/>
    </xf>
    <xf numFmtId="2" fontId="18" fillId="0" borderId="3" xfId="0" applyNumberFormat="1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right" vertical="center" wrapText="1"/>
    </xf>
    <xf numFmtId="0" fontId="9" fillId="2" borderId="38" xfId="0" applyFont="1" applyFill="1" applyBorder="1" applyAlignment="1">
      <alignment horizontal="right" vertical="center" wrapText="1"/>
    </xf>
    <xf numFmtId="0" fontId="9" fillId="2" borderId="39" xfId="0" applyFont="1" applyFill="1" applyBorder="1" applyAlignment="1">
      <alignment horizontal="right" vertical="center" wrapText="1"/>
    </xf>
    <xf numFmtId="0" fontId="19" fillId="0" borderId="50" xfId="0" applyFont="1" applyBorder="1" applyAlignment="1">
      <alignment horizontal="right" vertical="center" wrapText="1"/>
    </xf>
    <xf numFmtId="0" fontId="19" fillId="0" borderId="51" xfId="0" applyFont="1" applyBorder="1" applyAlignment="1">
      <alignment horizontal="right" vertical="center" wrapText="1"/>
    </xf>
    <xf numFmtId="0" fontId="19" fillId="0" borderId="58" xfId="0" applyFont="1" applyBorder="1" applyAlignment="1">
      <alignment horizontal="right" vertical="center" wrapText="1"/>
    </xf>
    <xf numFmtId="0" fontId="19" fillId="0" borderId="45" xfId="0" applyFont="1" applyBorder="1" applyAlignment="1">
      <alignment horizontal="right" vertical="center" wrapText="1"/>
    </xf>
    <xf numFmtId="0" fontId="19" fillId="0" borderId="0" xfId="0" applyFont="1" applyBorder="1" applyAlignment="1">
      <alignment horizontal="right" vertical="center" wrapText="1"/>
    </xf>
    <xf numFmtId="0" fontId="19" fillId="0" borderId="61" xfId="0" applyFont="1" applyBorder="1" applyAlignment="1">
      <alignment horizontal="right" vertical="center" wrapText="1"/>
    </xf>
    <xf numFmtId="2" fontId="18" fillId="0" borderId="7" xfId="0" applyNumberFormat="1" applyFont="1" applyFill="1" applyBorder="1" applyAlignment="1">
      <alignment horizontal="center" vertical="center" wrapText="1"/>
    </xf>
    <xf numFmtId="2" fontId="18" fillId="0" borderId="24" xfId="0" applyNumberFormat="1" applyFont="1" applyFill="1" applyBorder="1" applyAlignment="1">
      <alignment horizontal="center" vertical="center" wrapText="1"/>
    </xf>
    <xf numFmtId="166" fontId="8" fillId="0" borderId="1" xfId="1" applyFont="1" applyFill="1" applyBorder="1" applyAlignment="1">
      <alignment horizontal="center" vertical="center" wrapText="1"/>
    </xf>
    <xf numFmtId="7" fontId="21" fillId="0" borderId="7" xfId="3" applyNumberFormat="1" applyFont="1" applyFill="1" applyBorder="1" applyAlignment="1" applyProtection="1">
      <alignment horizontal="center" vertical="center" wrapText="1"/>
    </xf>
    <xf numFmtId="7" fontId="21" fillId="0" borderId="24" xfId="3" applyNumberFormat="1" applyFont="1" applyFill="1" applyBorder="1" applyAlignment="1" applyProtection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right" vertical="center" wrapText="1"/>
    </xf>
    <xf numFmtId="0" fontId="19" fillId="0" borderId="11" xfId="0" applyFont="1" applyBorder="1" applyAlignment="1">
      <alignment horizontal="right" vertical="center" wrapText="1"/>
    </xf>
    <xf numFmtId="0" fontId="19" fillId="0" borderId="23" xfId="0" applyFont="1" applyBorder="1" applyAlignment="1">
      <alignment horizontal="right" vertical="center" wrapText="1"/>
    </xf>
    <xf numFmtId="0" fontId="19" fillId="0" borderId="33" xfId="0" applyFont="1" applyBorder="1" applyAlignment="1">
      <alignment horizontal="right" vertical="center" wrapText="1"/>
    </xf>
    <xf numFmtId="0" fontId="19" fillId="0" borderId="34" xfId="0" applyFont="1" applyBorder="1" applyAlignment="1">
      <alignment horizontal="right" vertical="center" wrapText="1"/>
    </xf>
    <xf numFmtId="168" fontId="8" fillId="0" borderId="2" xfId="1" applyNumberFormat="1" applyFont="1" applyFill="1" applyBorder="1" applyAlignment="1" applyProtection="1">
      <alignment horizontal="right" vertical="center" wrapText="1"/>
    </xf>
    <xf numFmtId="168" fontId="8" fillId="0" borderId="3" xfId="1" applyNumberFormat="1" applyFont="1" applyFill="1" applyBorder="1" applyAlignment="1" applyProtection="1">
      <alignment horizontal="right" vertical="center" wrapText="1"/>
    </xf>
    <xf numFmtId="0" fontId="35" fillId="0" borderId="3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166" fontId="38" fillId="0" borderId="1" xfId="1" applyFont="1" applyFill="1" applyBorder="1" applyAlignment="1" applyProtection="1">
      <alignment horizontal="center" vertical="center" wrapText="1"/>
    </xf>
    <xf numFmtId="167" fontId="37" fillId="0" borderId="1" xfId="1" applyNumberFormat="1" applyFont="1" applyFill="1" applyBorder="1" applyAlignment="1" applyProtection="1">
      <alignment horizontal="center" vertical="center" wrapText="1"/>
    </xf>
    <xf numFmtId="165" fontId="39" fillId="0" borderId="32" xfId="1" applyNumberFormat="1" applyFont="1" applyFill="1" applyBorder="1" applyAlignment="1" applyProtection="1">
      <alignment horizontal="center" vertical="center" wrapText="1"/>
    </xf>
    <xf numFmtId="0" fontId="29" fillId="0" borderId="60" xfId="0" applyFont="1" applyBorder="1" applyAlignment="1">
      <alignment horizontal="center" vertical="center" wrapText="1"/>
    </xf>
    <xf numFmtId="0" fontId="29" fillId="0" borderId="46" xfId="0" applyFont="1" applyBorder="1" applyAlignment="1">
      <alignment horizontal="center" vertical="center" wrapText="1"/>
    </xf>
    <xf numFmtId="0" fontId="29" fillId="0" borderId="47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right" vertical="center" wrapText="1"/>
    </xf>
    <xf numFmtId="0" fontId="29" fillId="0" borderId="1" xfId="0" applyFont="1" applyBorder="1" applyAlignment="1">
      <alignment horizontal="right" vertical="center" wrapText="1"/>
    </xf>
    <xf numFmtId="165" fontId="29" fillId="0" borderId="1" xfId="0" applyNumberFormat="1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right" vertical="center" wrapText="1"/>
    </xf>
    <xf numFmtId="0" fontId="30" fillId="0" borderId="1" xfId="0" applyFont="1" applyBorder="1" applyAlignment="1">
      <alignment horizontal="right" vertical="center" wrapText="1"/>
    </xf>
    <xf numFmtId="43" fontId="30" fillId="0" borderId="1" xfId="0" applyNumberFormat="1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right" vertical="center" wrapText="1"/>
    </xf>
    <xf numFmtId="0" fontId="30" fillId="0" borderId="44" xfId="0" applyFont="1" applyBorder="1" applyAlignment="1">
      <alignment horizontal="right" vertical="center" wrapText="1"/>
    </xf>
    <xf numFmtId="43" fontId="30" fillId="0" borderId="44" xfId="0" applyNumberFormat="1" applyFont="1" applyBorder="1" applyAlignment="1">
      <alignment horizontal="center" vertical="center" wrapText="1"/>
    </xf>
    <xf numFmtId="0" fontId="30" fillId="0" borderId="35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30" fillId="0" borderId="33" xfId="0" applyFont="1" applyBorder="1" applyAlignment="1">
      <alignment horizontal="center" vertical="center" wrapText="1"/>
    </xf>
    <xf numFmtId="0" fontId="30" fillId="0" borderId="34" xfId="0" applyFont="1" applyBorder="1" applyAlignment="1">
      <alignment horizontal="center" vertical="center" wrapText="1"/>
    </xf>
    <xf numFmtId="43" fontId="30" fillId="0" borderId="50" xfId="0" applyNumberFormat="1" applyFont="1" applyBorder="1" applyAlignment="1">
      <alignment horizontal="center" vertical="center" wrapText="1"/>
    </xf>
    <xf numFmtId="0" fontId="30" fillId="0" borderId="51" xfId="0" applyFont="1" applyBorder="1" applyAlignment="1">
      <alignment horizontal="center" vertical="center" wrapText="1"/>
    </xf>
    <xf numFmtId="0" fontId="30" fillId="0" borderId="58" xfId="0" applyFont="1" applyBorder="1" applyAlignment="1">
      <alignment horizontal="center" vertical="center" wrapText="1"/>
    </xf>
    <xf numFmtId="0" fontId="31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29" fillId="0" borderId="30" xfId="0" applyFont="1" applyBorder="1" applyAlignment="1">
      <alignment horizontal="right" vertical="center" wrapText="1"/>
    </xf>
    <xf numFmtId="0" fontId="29" fillId="0" borderId="11" xfId="0" applyFont="1" applyBorder="1" applyAlignment="1">
      <alignment horizontal="right" vertical="center" wrapText="1"/>
    </xf>
    <xf numFmtId="165" fontId="29" fillId="0" borderId="52" xfId="0" applyNumberFormat="1" applyFont="1" applyBorder="1" applyAlignment="1">
      <alignment horizontal="center" vertical="center" wrapText="1"/>
    </xf>
    <xf numFmtId="165" fontId="29" fillId="0" borderId="53" xfId="0" applyNumberFormat="1" applyFont="1" applyBorder="1" applyAlignment="1">
      <alignment horizontal="center" vertical="center" wrapText="1"/>
    </xf>
    <xf numFmtId="165" fontId="29" fillId="0" borderId="62" xfId="0" applyNumberFormat="1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165" fontId="29" fillId="0" borderId="60" xfId="0" applyNumberFormat="1" applyFont="1" applyBorder="1" applyAlignment="1">
      <alignment horizontal="center" vertical="center" wrapText="1"/>
    </xf>
    <xf numFmtId="165" fontId="29" fillId="0" borderId="46" xfId="0" applyNumberFormat="1" applyFont="1" applyBorder="1" applyAlignment="1">
      <alignment horizontal="center" vertical="center" wrapText="1"/>
    </xf>
    <xf numFmtId="165" fontId="29" fillId="0" borderId="47" xfId="0" applyNumberFormat="1" applyFont="1" applyBorder="1" applyAlignment="1">
      <alignment horizontal="center" vertical="center" wrapText="1"/>
    </xf>
    <xf numFmtId="165" fontId="29" fillId="0" borderId="30" xfId="0" applyNumberFormat="1" applyFont="1" applyBorder="1" applyAlignment="1">
      <alignment horizontal="center" vertical="center" wrapText="1"/>
    </xf>
    <xf numFmtId="165" fontId="29" fillId="0" borderId="11" xfId="0" applyNumberFormat="1" applyFont="1" applyBorder="1" applyAlignment="1">
      <alignment horizontal="center" vertical="center" wrapText="1"/>
    </xf>
    <xf numFmtId="165" fontId="29" fillId="0" borderId="12" xfId="0" applyNumberFormat="1" applyFont="1" applyBorder="1" applyAlignment="1">
      <alignment horizontal="center" vertical="center" wrapText="1"/>
    </xf>
    <xf numFmtId="0" fontId="34" fillId="0" borderId="43" xfId="0" applyFont="1" applyFill="1" applyBorder="1" applyAlignment="1">
      <alignment horizontal="left" vertical="center" wrapText="1"/>
    </xf>
    <xf numFmtId="0" fontId="34" fillId="0" borderId="44" xfId="0" applyFont="1" applyFill="1" applyBorder="1" applyAlignment="1">
      <alignment horizontal="left" vertical="center" wrapText="1"/>
    </xf>
    <xf numFmtId="0" fontId="34" fillId="0" borderId="35" xfId="0" applyFont="1" applyFill="1" applyBorder="1" applyAlignment="1">
      <alignment horizontal="left" vertical="center" wrapText="1"/>
    </xf>
    <xf numFmtId="165" fontId="33" fillId="0" borderId="34" xfId="1" applyNumberFormat="1" applyFont="1" applyFill="1" applyBorder="1" applyAlignment="1" applyProtection="1">
      <alignment horizontal="center" vertical="center" wrapText="1"/>
    </xf>
    <xf numFmtId="165" fontId="33" fillId="0" borderId="36" xfId="1" applyNumberFormat="1" applyFont="1" applyFill="1" applyBorder="1" applyAlignment="1" applyProtection="1">
      <alignment horizontal="center" vertical="center" wrapText="1"/>
    </xf>
    <xf numFmtId="0" fontId="19" fillId="0" borderId="60" xfId="0" applyFont="1" applyBorder="1" applyAlignment="1">
      <alignment horizontal="right" vertical="center" wrapText="1"/>
    </xf>
    <xf numFmtId="0" fontId="19" fillId="0" borderId="46" xfId="0" applyFont="1" applyBorder="1" applyAlignment="1">
      <alignment horizontal="right" vertical="center" wrapText="1"/>
    </xf>
    <xf numFmtId="165" fontId="33" fillId="0" borderId="60" xfId="1" applyNumberFormat="1" applyFont="1" applyFill="1" applyBorder="1" applyAlignment="1" applyProtection="1">
      <alignment horizontal="center" vertical="center" wrapText="1"/>
    </xf>
    <xf numFmtId="165" fontId="33" fillId="0" borderId="46" xfId="1" applyNumberFormat="1" applyFont="1" applyFill="1" applyBorder="1" applyAlignment="1" applyProtection="1">
      <alignment horizontal="center" vertical="center" wrapText="1"/>
    </xf>
    <xf numFmtId="165" fontId="33" fillId="0" borderId="47" xfId="1" applyNumberFormat="1" applyFont="1" applyFill="1" applyBorder="1" applyAlignment="1" applyProtection="1">
      <alignment horizontal="center" vertical="center" wrapText="1"/>
    </xf>
    <xf numFmtId="165" fontId="33" fillId="0" borderId="52" xfId="1" applyNumberFormat="1" applyFont="1" applyFill="1" applyBorder="1" applyAlignment="1" applyProtection="1">
      <alignment horizontal="center" vertical="center" wrapText="1"/>
    </xf>
    <xf numFmtId="165" fontId="33" fillId="0" borderId="53" xfId="1" applyNumberFormat="1" applyFont="1" applyFill="1" applyBorder="1" applyAlignment="1" applyProtection="1">
      <alignment horizontal="center" vertical="center" wrapText="1"/>
    </xf>
    <xf numFmtId="165" fontId="33" fillId="0" borderId="62" xfId="1" applyNumberFormat="1" applyFont="1" applyFill="1" applyBorder="1" applyAlignment="1" applyProtection="1">
      <alignment horizontal="center" vertical="center" wrapText="1"/>
    </xf>
    <xf numFmtId="165" fontId="42" fillId="0" borderId="50" xfId="1" applyNumberFormat="1" applyFont="1" applyFill="1" applyBorder="1" applyAlignment="1" applyProtection="1">
      <alignment horizontal="center" vertical="center" wrapText="1"/>
    </xf>
    <xf numFmtId="165" fontId="42" fillId="0" borderId="51" xfId="1" applyNumberFormat="1" applyFont="1" applyFill="1" applyBorder="1" applyAlignment="1" applyProtection="1">
      <alignment horizontal="center" vertical="center" wrapText="1"/>
    </xf>
    <xf numFmtId="165" fontId="42" fillId="0" borderId="58" xfId="1" applyNumberFormat="1" applyFont="1" applyFill="1" applyBorder="1" applyAlignment="1" applyProtection="1">
      <alignment horizontal="center" vertical="center" wrapText="1"/>
    </xf>
    <xf numFmtId="0" fontId="29" fillId="0" borderId="48" xfId="0" applyFont="1" applyBorder="1" applyAlignment="1">
      <alignment horizontal="center" vertical="center" wrapText="1"/>
    </xf>
    <xf numFmtId="0" fontId="29" fillId="0" borderId="49" xfId="0" applyFont="1" applyBorder="1" applyAlignment="1">
      <alignment horizontal="center" vertical="center" wrapText="1"/>
    </xf>
    <xf numFmtId="0" fontId="32" fillId="0" borderId="31" xfId="0" applyFont="1" applyFill="1" applyBorder="1" applyAlignment="1">
      <alignment horizontal="left" vertical="center" wrapText="1"/>
    </xf>
    <xf numFmtId="0" fontId="32" fillId="0" borderId="1" xfId="0" applyFont="1" applyFill="1" applyBorder="1" applyAlignment="1">
      <alignment horizontal="left" vertical="center" wrapText="1"/>
    </xf>
    <xf numFmtId="0" fontId="32" fillId="0" borderId="32" xfId="0" applyFont="1" applyFill="1" applyBorder="1" applyAlignment="1">
      <alignment horizontal="left" vertical="center" wrapText="1"/>
    </xf>
    <xf numFmtId="165" fontId="33" fillId="0" borderId="11" xfId="1" applyNumberFormat="1" applyFont="1" applyFill="1" applyBorder="1" applyAlignment="1" applyProtection="1">
      <alignment horizontal="center" vertical="center" wrapText="1"/>
    </xf>
    <xf numFmtId="165" fontId="33" fillId="0" borderId="12" xfId="1" applyNumberFormat="1" applyFont="1" applyFill="1" applyBorder="1" applyAlignment="1" applyProtection="1">
      <alignment horizontal="center" vertical="center" wrapText="1"/>
    </xf>
    <xf numFmtId="0" fontId="32" fillId="0" borderId="27" xfId="0" applyFont="1" applyFill="1" applyBorder="1" applyAlignment="1">
      <alignment horizontal="left" vertical="center" wrapText="1"/>
    </xf>
    <xf numFmtId="0" fontId="32" fillId="0" borderId="28" xfId="0" applyFont="1" applyFill="1" applyBorder="1" applyAlignment="1">
      <alignment horizontal="left" vertical="center" wrapText="1"/>
    </xf>
    <xf numFmtId="0" fontId="32" fillId="0" borderId="29" xfId="0" applyFont="1" applyFill="1" applyBorder="1" applyAlignment="1">
      <alignment horizontal="left" vertical="center" wrapText="1"/>
    </xf>
    <xf numFmtId="165" fontId="31" fillId="0" borderId="60" xfId="1" applyNumberFormat="1" applyFont="1" applyFill="1" applyBorder="1" applyAlignment="1" applyProtection="1">
      <alignment horizontal="center" vertical="center" wrapText="1"/>
    </xf>
    <xf numFmtId="165" fontId="31" fillId="0" borderId="46" xfId="1" applyNumberFormat="1" applyFont="1" applyFill="1" applyBorder="1" applyAlignment="1" applyProtection="1">
      <alignment horizontal="center" vertical="center" wrapText="1"/>
    </xf>
    <xf numFmtId="165" fontId="31" fillId="0" borderId="47" xfId="1" applyNumberFormat="1" applyFont="1" applyFill="1" applyBorder="1" applyAlignment="1" applyProtection="1">
      <alignment horizontal="center" vertical="center" wrapText="1"/>
    </xf>
    <xf numFmtId="165" fontId="31" fillId="0" borderId="33" xfId="1" applyNumberFormat="1" applyFont="1" applyFill="1" applyBorder="1" applyAlignment="1" applyProtection="1">
      <alignment horizontal="center" vertical="center" wrapText="1"/>
    </xf>
    <xf numFmtId="165" fontId="31" fillId="0" borderId="34" xfId="1" applyNumberFormat="1" applyFont="1" applyFill="1" applyBorder="1" applyAlignment="1" applyProtection="1">
      <alignment horizontal="center" vertical="center" wrapText="1"/>
    </xf>
    <xf numFmtId="165" fontId="31" fillId="0" borderId="36" xfId="1" applyNumberFormat="1" applyFont="1" applyFill="1" applyBorder="1" applyAlignment="1" applyProtection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165" fontId="33" fillId="0" borderId="33" xfId="1" applyNumberFormat="1" applyFont="1" applyFill="1" applyBorder="1" applyAlignment="1" applyProtection="1">
      <alignment horizontal="center" vertical="center" wrapText="1"/>
    </xf>
    <xf numFmtId="165" fontId="12" fillId="0" borderId="50" xfId="1" applyNumberFormat="1" applyFont="1" applyFill="1" applyBorder="1" applyAlignment="1" applyProtection="1">
      <alignment horizontal="center" vertical="center" wrapText="1"/>
    </xf>
    <xf numFmtId="165" fontId="12" fillId="0" borderId="51" xfId="1" applyNumberFormat="1" applyFont="1" applyFill="1" applyBorder="1" applyAlignment="1" applyProtection="1">
      <alignment horizontal="center" vertical="center" wrapText="1"/>
    </xf>
    <xf numFmtId="165" fontId="12" fillId="0" borderId="58" xfId="1" applyNumberFormat="1" applyFont="1" applyFill="1" applyBorder="1" applyAlignment="1" applyProtection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</cellXfs>
  <cellStyles count="6">
    <cellStyle name="Dziesiętny" xfId="1" builtinId="3"/>
    <cellStyle name="Dziesiętny 3" xfId="2"/>
    <cellStyle name="Dziesiętny_INWESTORSKI " xfId="3"/>
    <cellStyle name="Normalny" xfId="0" builtinId="0"/>
    <cellStyle name="Normalny 3" xfId="4"/>
    <cellStyle name="Walutowy" xfId="5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L308"/>
  <sheetViews>
    <sheetView tabSelected="1" topLeftCell="A34" zoomScale="60" zoomScaleNormal="60" workbookViewId="0">
      <selection activeCell="I39" sqref="I39"/>
    </sheetView>
  </sheetViews>
  <sheetFormatPr defaultColWidth="9.140625" defaultRowHeight="15" x14ac:dyDescent="0.2"/>
  <cols>
    <col min="1" max="1" width="6.5703125" style="17" customWidth="1"/>
    <col min="2" max="2" width="24.140625" style="19" customWidth="1"/>
    <col min="3" max="3" width="119.7109375" style="17" customWidth="1"/>
    <col min="4" max="4" width="10" style="19" customWidth="1"/>
    <col min="5" max="5" width="19.7109375" style="10" customWidth="1"/>
    <col min="6" max="6" width="21.28515625" style="16" customWidth="1"/>
    <col min="7" max="7" width="24.7109375" style="17" customWidth="1"/>
    <col min="8" max="8" width="15.7109375" style="17" bestFit="1" customWidth="1"/>
    <col min="9" max="9" width="25.42578125" style="17" customWidth="1"/>
    <col min="10" max="16384" width="9.140625" style="17"/>
  </cols>
  <sheetData>
    <row r="1" spans="1:9" ht="42" customHeight="1" thickBot="1" x14ac:dyDescent="0.25">
      <c r="A1" s="58" t="s">
        <v>274</v>
      </c>
      <c r="B1" s="59"/>
      <c r="C1" s="59"/>
      <c r="D1" s="59"/>
      <c r="E1" s="59"/>
      <c r="F1" s="59"/>
      <c r="G1" s="60"/>
      <c r="H1" s="36"/>
      <c r="I1" s="37"/>
    </row>
    <row r="2" spans="1:9" s="14" customFormat="1" ht="60.75" customHeight="1" x14ac:dyDescent="0.2">
      <c r="A2" s="61" t="s">
        <v>278</v>
      </c>
      <c r="B2" s="62"/>
      <c r="C2" s="62"/>
      <c r="D2" s="62"/>
      <c r="E2" s="62"/>
      <c r="F2" s="62"/>
      <c r="G2" s="63"/>
    </row>
    <row r="3" spans="1:9" s="14" customFormat="1" ht="34.5" customHeight="1" thickBot="1" x14ac:dyDescent="0.25">
      <c r="A3" s="64" t="s">
        <v>114</v>
      </c>
      <c r="B3" s="65"/>
      <c r="C3" s="65"/>
      <c r="D3" s="65"/>
      <c r="E3" s="65"/>
      <c r="F3" s="65"/>
      <c r="G3" s="66"/>
    </row>
    <row r="4" spans="1:9" s="14" customFormat="1" ht="65.45" customHeight="1" x14ac:dyDescent="0.2">
      <c r="A4" s="23" t="s">
        <v>2</v>
      </c>
      <c r="B4" s="24" t="s">
        <v>3</v>
      </c>
      <c r="C4" s="25" t="s">
        <v>4</v>
      </c>
      <c r="D4" s="25" t="s">
        <v>5</v>
      </c>
      <c r="E4" s="26" t="s">
        <v>6</v>
      </c>
      <c r="F4" s="27" t="s">
        <v>7</v>
      </c>
      <c r="G4" s="28" t="s">
        <v>8</v>
      </c>
    </row>
    <row r="5" spans="1:9" s="14" customFormat="1" ht="27" customHeight="1" x14ac:dyDescent="0.2">
      <c r="A5" s="67" t="s">
        <v>43</v>
      </c>
      <c r="B5" s="68"/>
      <c r="C5" s="68"/>
      <c r="D5" s="68"/>
      <c r="E5" s="68"/>
      <c r="F5" s="68"/>
      <c r="G5" s="69"/>
    </row>
    <row r="6" spans="1:9" s="14" customFormat="1" ht="40.5" customHeight="1" x14ac:dyDescent="0.2">
      <c r="A6" s="32">
        <v>1</v>
      </c>
      <c r="B6" s="33" t="s">
        <v>20</v>
      </c>
      <c r="C6" s="2" t="s">
        <v>42</v>
      </c>
      <c r="D6" s="35" t="s">
        <v>14</v>
      </c>
      <c r="E6" s="34">
        <v>4.83</v>
      </c>
      <c r="F6" s="3"/>
      <c r="G6" s="29">
        <f>ROUND(E6*F6,2)</f>
        <v>0</v>
      </c>
    </row>
    <row r="7" spans="1:9" s="14" customFormat="1" ht="34.9" customHeight="1" x14ac:dyDescent="0.2">
      <c r="A7" s="32">
        <v>2</v>
      </c>
      <c r="B7" s="33" t="s">
        <v>20</v>
      </c>
      <c r="C7" s="2" t="s">
        <v>34</v>
      </c>
      <c r="D7" s="35" t="s">
        <v>30</v>
      </c>
      <c r="E7" s="34">
        <v>1</v>
      </c>
      <c r="F7" s="3"/>
      <c r="G7" s="29">
        <f>ROUND(E7*F7,2)</f>
        <v>0</v>
      </c>
    </row>
    <row r="8" spans="1:9" s="14" customFormat="1" ht="24.6" customHeight="1" x14ac:dyDescent="0.2">
      <c r="A8" s="67" t="s">
        <v>116</v>
      </c>
      <c r="B8" s="68"/>
      <c r="C8" s="68"/>
      <c r="D8" s="68"/>
      <c r="E8" s="68"/>
      <c r="F8" s="68"/>
      <c r="G8" s="69"/>
    </row>
    <row r="9" spans="1:9" s="14" customFormat="1" ht="69.599999999999994" customHeight="1" x14ac:dyDescent="0.2">
      <c r="A9" s="70">
        <v>3</v>
      </c>
      <c r="B9" s="71" t="str">
        <f>B7</f>
        <v xml:space="preserve">Wizja w terenie 
Projekt </v>
      </c>
      <c r="C9" s="2" t="s">
        <v>66</v>
      </c>
      <c r="D9" s="72" t="s">
        <v>58</v>
      </c>
      <c r="E9" s="73">
        <f>720+132+140+16</f>
        <v>1008</v>
      </c>
      <c r="F9" s="74"/>
      <c r="G9" s="81">
        <f>ROUND(E9*F9,2)</f>
        <v>0</v>
      </c>
    </row>
    <row r="10" spans="1:9" s="14" customFormat="1" ht="126" customHeight="1" x14ac:dyDescent="0.2">
      <c r="A10" s="70"/>
      <c r="B10" s="71"/>
      <c r="C10" s="1" t="s">
        <v>171</v>
      </c>
      <c r="D10" s="72"/>
      <c r="E10" s="73"/>
      <c r="F10" s="74"/>
      <c r="G10" s="82"/>
    </row>
    <row r="11" spans="1:9" s="14" customFormat="1" ht="54" customHeight="1" x14ac:dyDescent="0.2">
      <c r="A11" s="70">
        <v>4</v>
      </c>
      <c r="B11" s="71" t="str">
        <f>B9</f>
        <v xml:space="preserve">Wizja w terenie 
Projekt </v>
      </c>
      <c r="C11" s="2" t="s">
        <v>54</v>
      </c>
      <c r="D11" s="72" t="s">
        <v>10</v>
      </c>
      <c r="E11" s="73">
        <f>2*325+132+140+10</f>
        <v>932</v>
      </c>
      <c r="F11" s="74"/>
      <c r="G11" s="81">
        <f>ROUND(E11*F11,2)</f>
        <v>0</v>
      </c>
    </row>
    <row r="12" spans="1:9" s="14" customFormat="1" ht="126.6" customHeight="1" x14ac:dyDescent="0.2">
      <c r="A12" s="70"/>
      <c r="B12" s="71"/>
      <c r="C12" s="1" t="s">
        <v>172</v>
      </c>
      <c r="D12" s="72"/>
      <c r="E12" s="73"/>
      <c r="F12" s="74"/>
      <c r="G12" s="82"/>
    </row>
    <row r="13" spans="1:9" s="14" customFormat="1" ht="44.45" customHeight="1" x14ac:dyDescent="0.2">
      <c r="A13" s="70">
        <v>5</v>
      </c>
      <c r="B13" s="75" t="str">
        <f>B9</f>
        <v xml:space="preserve">Wizja w terenie 
Projekt </v>
      </c>
      <c r="C13" s="2" t="s">
        <v>244</v>
      </c>
      <c r="D13" s="72" t="s">
        <v>10</v>
      </c>
      <c r="E13" s="77">
        <v>22</v>
      </c>
      <c r="F13" s="79"/>
      <c r="G13" s="81">
        <f>ROUND(E13*F13,2)</f>
        <v>0</v>
      </c>
    </row>
    <row r="14" spans="1:9" s="14" customFormat="1" ht="39" customHeight="1" x14ac:dyDescent="0.2">
      <c r="A14" s="70"/>
      <c r="B14" s="76"/>
      <c r="C14" s="1" t="s">
        <v>173</v>
      </c>
      <c r="D14" s="72"/>
      <c r="E14" s="78"/>
      <c r="F14" s="80"/>
      <c r="G14" s="82"/>
    </row>
    <row r="15" spans="1:9" s="14" customFormat="1" ht="39" customHeight="1" x14ac:dyDescent="0.2">
      <c r="A15" s="83">
        <v>6</v>
      </c>
      <c r="B15" s="75" t="str">
        <f>B13</f>
        <v xml:space="preserve">Wizja w terenie 
Projekt </v>
      </c>
      <c r="C15" s="1" t="s">
        <v>21</v>
      </c>
      <c r="D15" s="85" t="s">
        <v>25</v>
      </c>
      <c r="E15" s="77">
        <f>(28-3.5)*1.5+13.75+36.75+15+2.5</f>
        <v>104.75</v>
      </c>
      <c r="F15" s="79"/>
      <c r="G15" s="81">
        <f>ROUND(E15*F15,2)</f>
        <v>0</v>
      </c>
    </row>
    <row r="16" spans="1:9" s="14" customFormat="1" ht="171.6" customHeight="1" x14ac:dyDescent="0.2">
      <c r="A16" s="84"/>
      <c r="B16" s="76"/>
      <c r="C16" s="1" t="s">
        <v>174</v>
      </c>
      <c r="D16" s="86"/>
      <c r="E16" s="78"/>
      <c r="F16" s="80"/>
      <c r="G16" s="82"/>
    </row>
    <row r="17" spans="1:7" s="14" customFormat="1" ht="61.9" customHeight="1" x14ac:dyDescent="0.2">
      <c r="A17" s="83">
        <v>7</v>
      </c>
      <c r="B17" s="75" t="str">
        <f>B15</f>
        <v xml:space="preserve">Wizja w terenie 
Projekt </v>
      </c>
      <c r="C17" s="1" t="s">
        <v>245</v>
      </c>
      <c r="D17" s="85" t="s">
        <v>25</v>
      </c>
      <c r="E17" s="77">
        <f>5.4+7.02+9.72+9.45</f>
        <v>31.59</v>
      </c>
      <c r="F17" s="79"/>
      <c r="G17" s="81">
        <f>ROUND(E17*F17,2)</f>
        <v>0</v>
      </c>
    </row>
    <row r="18" spans="1:7" s="14" customFormat="1" ht="140.44999999999999" customHeight="1" x14ac:dyDescent="0.2">
      <c r="A18" s="84"/>
      <c r="B18" s="76"/>
      <c r="C18" s="1" t="s">
        <v>175</v>
      </c>
      <c r="D18" s="86"/>
      <c r="E18" s="78"/>
      <c r="F18" s="80"/>
      <c r="G18" s="82"/>
    </row>
    <row r="19" spans="1:7" s="14" customFormat="1" ht="58.15" customHeight="1" x14ac:dyDescent="0.2">
      <c r="A19" s="70">
        <v>8</v>
      </c>
      <c r="B19" s="75" t="str">
        <f>B17</f>
        <v xml:space="preserve">Wizja w terenie 
Projekt </v>
      </c>
      <c r="C19" s="1" t="s">
        <v>55</v>
      </c>
      <c r="D19" s="72" t="s">
        <v>25</v>
      </c>
      <c r="E19" s="77">
        <f>4*3.5</f>
        <v>14</v>
      </c>
      <c r="F19" s="74"/>
      <c r="G19" s="81">
        <f>ROUND(E19*F19,2)</f>
        <v>0</v>
      </c>
    </row>
    <row r="20" spans="1:7" s="14" customFormat="1" ht="34.9" customHeight="1" x14ac:dyDescent="0.2">
      <c r="A20" s="70"/>
      <c r="B20" s="76"/>
      <c r="C20" s="1" t="s">
        <v>176</v>
      </c>
      <c r="D20" s="72"/>
      <c r="E20" s="78"/>
      <c r="F20" s="74"/>
      <c r="G20" s="82"/>
    </row>
    <row r="21" spans="1:7" s="14" customFormat="1" ht="54.6" customHeight="1" x14ac:dyDescent="0.2">
      <c r="A21" s="70">
        <v>9</v>
      </c>
      <c r="B21" s="75" t="str">
        <f>B19</f>
        <v xml:space="preserve">Wizja w terenie 
Projekt </v>
      </c>
      <c r="C21" s="1" t="s">
        <v>246</v>
      </c>
      <c r="D21" s="72" t="s">
        <v>25</v>
      </c>
      <c r="E21" s="77">
        <v>3</v>
      </c>
      <c r="F21" s="74"/>
      <c r="G21" s="81">
        <f>ROUND(E21*F21,2)</f>
        <v>0</v>
      </c>
    </row>
    <row r="22" spans="1:7" s="14" customFormat="1" ht="33.6" customHeight="1" x14ac:dyDescent="0.2">
      <c r="A22" s="70"/>
      <c r="B22" s="76"/>
      <c r="C22" s="1" t="s">
        <v>177</v>
      </c>
      <c r="D22" s="72"/>
      <c r="E22" s="78"/>
      <c r="F22" s="74"/>
      <c r="G22" s="82"/>
    </row>
    <row r="23" spans="1:7" s="13" customFormat="1" ht="31.9" customHeight="1" x14ac:dyDescent="0.2">
      <c r="A23" s="87">
        <v>10</v>
      </c>
      <c r="B23" s="88" t="str">
        <f>B21</f>
        <v xml:space="preserve">Wizja w terenie 
Projekt </v>
      </c>
      <c r="C23" s="89" t="s">
        <v>247</v>
      </c>
      <c r="D23" s="91" t="s">
        <v>11</v>
      </c>
      <c r="E23" s="93">
        <v>1</v>
      </c>
      <c r="F23" s="95"/>
      <c r="G23" s="81">
        <f>ROUND(E23*F23,2)</f>
        <v>0</v>
      </c>
    </row>
    <row r="24" spans="1:7" s="14" customFormat="1" ht="13.15" customHeight="1" x14ac:dyDescent="0.2">
      <c r="A24" s="87"/>
      <c r="B24" s="88"/>
      <c r="C24" s="90"/>
      <c r="D24" s="92"/>
      <c r="E24" s="94"/>
      <c r="F24" s="95"/>
      <c r="G24" s="82"/>
    </row>
    <row r="25" spans="1:7" s="14" customFormat="1" ht="41.45" customHeight="1" x14ac:dyDescent="0.2">
      <c r="A25" s="70">
        <v>11</v>
      </c>
      <c r="B25" s="75" t="str">
        <f>B17</f>
        <v xml:space="preserve">Wizja w terenie 
Projekt </v>
      </c>
      <c r="C25" s="2" t="s">
        <v>56</v>
      </c>
      <c r="D25" s="72" t="s">
        <v>25</v>
      </c>
      <c r="E25" s="73">
        <f xml:space="preserve"> (2*4830 - (105+15+10+24+19*4.5+11+10+1+27*18))*1</f>
        <v>8912.5</v>
      </c>
      <c r="F25" s="74"/>
      <c r="G25" s="81">
        <f>ROUND(E25*F25,2)</f>
        <v>0</v>
      </c>
    </row>
    <row r="26" spans="1:7" s="14" customFormat="1" ht="26.45" customHeight="1" x14ac:dyDescent="0.2">
      <c r="A26" s="70"/>
      <c r="B26" s="76"/>
      <c r="C26" s="1" t="s">
        <v>178</v>
      </c>
      <c r="D26" s="72"/>
      <c r="E26" s="73"/>
      <c r="F26" s="74"/>
      <c r="G26" s="82"/>
    </row>
    <row r="27" spans="1:7" s="14" customFormat="1" ht="58.15" customHeight="1" x14ac:dyDescent="0.2">
      <c r="A27" s="70">
        <v>12</v>
      </c>
      <c r="B27" s="75" t="str">
        <f>B25</f>
        <v xml:space="preserve">Wizja w terenie 
Projekt </v>
      </c>
      <c r="C27" s="2" t="s">
        <v>249</v>
      </c>
      <c r="D27" s="72" t="s">
        <v>11</v>
      </c>
      <c r="E27" s="73">
        <v>19</v>
      </c>
      <c r="F27" s="74"/>
      <c r="G27" s="81">
        <f>ROUND(E27*F27,2)</f>
        <v>0</v>
      </c>
    </row>
    <row r="28" spans="1:7" s="14" customFormat="1" ht="21" customHeight="1" x14ac:dyDescent="0.2">
      <c r="A28" s="70"/>
      <c r="B28" s="76"/>
      <c r="C28" s="1" t="s">
        <v>57</v>
      </c>
      <c r="D28" s="72"/>
      <c r="E28" s="73"/>
      <c r="F28" s="74"/>
      <c r="G28" s="82"/>
    </row>
    <row r="29" spans="1:7" s="14" customFormat="1" ht="22.5" customHeight="1" x14ac:dyDescent="0.2">
      <c r="A29" s="70">
        <v>13</v>
      </c>
      <c r="B29" s="75" t="str">
        <f>B27</f>
        <v xml:space="preserve">Wizja w terenie 
Projekt </v>
      </c>
      <c r="C29" s="2" t="s">
        <v>17</v>
      </c>
      <c r="D29" s="72" t="s">
        <v>11</v>
      </c>
      <c r="E29" s="73">
        <v>5</v>
      </c>
      <c r="F29" s="74"/>
      <c r="G29" s="81">
        <f>ROUND(E29*F29,2)</f>
        <v>0</v>
      </c>
    </row>
    <row r="30" spans="1:7" s="14" customFormat="1" ht="25.9" customHeight="1" x14ac:dyDescent="0.2">
      <c r="A30" s="70"/>
      <c r="B30" s="76"/>
      <c r="C30" s="1" t="s">
        <v>67</v>
      </c>
      <c r="D30" s="72"/>
      <c r="E30" s="73"/>
      <c r="F30" s="74"/>
      <c r="G30" s="82"/>
    </row>
    <row r="31" spans="1:7" s="14" customFormat="1" ht="40.15" customHeight="1" x14ac:dyDescent="0.2">
      <c r="A31" s="70">
        <v>14</v>
      </c>
      <c r="B31" s="75" t="str">
        <f>B25</f>
        <v xml:space="preserve">Wizja w terenie 
Projekt </v>
      </c>
      <c r="C31" s="2" t="s">
        <v>248</v>
      </c>
      <c r="D31" s="72" t="s">
        <v>25</v>
      </c>
      <c r="E31" s="73">
        <f>4*((5.5+3.5)*0.5*5)</f>
        <v>90</v>
      </c>
      <c r="F31" s="74"/>
      <c r="G31" s="81">
        <f>ROUND(E31*F31,2)</f>
        <v>0</v>
      </c>
    </row>
    <row r="32" spans="1:7" s="14" customFormat="1" ht="42.6" customHeight="1" x14ac:dyDescent="0.2">
      <c r="A32" s="70"/>
      <c r="B32" s="76"/>
      <c r="C32" s="1" t="s">
        <v>179</v>
      </c>
      <c r="D32" s="72"/>
      <c r="E32" s="73"/>
      <c r="F32" s="74"/>
      <c r="G32" s="82"/>
    </row>
    <row r="33" spans="1:7" s="14" customFormat="1" ht="40.15" customHeight="1" x14ac:dyDescent="0.2">
      <c r="A33" s="70">
        <v>15</v>
      </c>
      <c r="B33" s="75" t="str">
        <f>B31</f>
        <v xml:space="preserve">Wizja w terenie 
Projekt </v>
      </c>
      <c r="C33" s="2" t="s">
        <v>72</v>
      </c>
      <c r="D33" s="72" t="s">
        <v>25</v>
      </c>
      <c r="E33" s="73">
        <f>5+7</f>
        <v>12</v>
      </c>
      <c r="F33" s="74"/>
      <c r="G33" s="81">
        <f>ROUND(E33*F33,2)</f>
        <v>0</v>
      </c>
    </row>
    <row r="34" spans="1:7" s="14" customFormat="1" ht="36.6" customHeight="1" x14ac:dyDescent="0.2">
      <c r="A34" s="70"/>
      <c r="B34" s="76"/>
      <c r="C34" s="1" t="s">
        <v>180</v>
      </c>
      <c r="D34" s="72"/>
      <c r="E34" s="73"/>
      <c r="F34" s="74"/>
      <c r="G34" s="82"/>
    </row>
    <row r="35" spans="1:7" s="14" customFormat="1" ht="50.45" customHeight="1" x14ac:dyDescent="0.2">
      <c r="A35" s="70">
        <v>16</v>
      </c>
      <c r="B35" s="75" t="str">
        <f>B33</f>
        <v xml:space="preserve">Wizja w terenie 
Projekt </v>
      </c>
      <c r="C35" s="2" t="s">
        <v>73</v>
      </c>
      <c r="D35" s="72" t="s">
        <v>25</v>
      </c>
      <c r="E35" s="73">
        <f>19*4*2.5+1049.65</f>
        <v>1239.6500000000001</v>
      </c>
      <c r="F35" s="74"/>
      <c r="G35" s="81">
        <f>ROUND(E35*F35,2)</f>
        <v>0</v>
      </c>
    </row>
    <row r="36" spans="1:7" s="14" customFormat="1" ht="61.15" customHeight="1" x14ac:dyDescent="0.2">
      <c r="A36" s="70"/>
      <c r="B36" s="76"/>
      <c r="C36" s="1" t="s">
        <v>181</v>
      </c>
      <c r="D36" s="72"/>
      <c r="E36" s="73"/>
      <c r="F36" s="74"/>
      <c r="G36" s="82"/>
    </row>
    <row r="37" spans="1:7" s="14" customFormat="1" ht="54.6" customHeight="1" x14ac:dyDescent="0.2">
      <c r="A37" s="70">
        <v>17</v>
      </c>
      <c r="B37" s="75" t="str">
        <f>B13</f>
        <v xml:space="preserve">Wizja w terenie 
Projekt </v>
      </c>
      <c r="C37" s="2" t="s">
        <v>250</v>
      </c>
      <c r="D37" s="72" t="s">
        <v>25</v>
      </c>
      <c r="E37" s="73">
        <f>900*5.05</f>
        <v>4545</v>
      </c>
      <c r="F37" s="74"/>
      <c r="G37" s="81">
        <f>ROUND(E37*F37,2)</f>
        <v>0</v>
      </c>
    </row>
    <row r="38" spans="1:7" s="14" customFormat="1" ht="40.9" customHeight="1" x14ac:dyDescent="0.2">
      <c r="A38" s="70"/>
      <c r="B38" s="76"/>
      <c r="C38" s="1" t="s">
        <v>182</v>
      </c>
      <c r="D38" s="72"/>
      <c r="E38" s="73"/>
      <c r="F38" s="74"/>
      <c r="G38" s="82"/>
    </row>
    <row r="39" spans="1:7" s="14" customFormat="1" ht="57.6" customHeight="1" x14ac:dyDescent="0.2">
      <c r="A39" s="70">
        <v>18</v>
      </c>
      <c r="B39" s="75" t="str">
        <f>B37</f>
        <v xml:space="preserve">Wizja w terenie 
Projekt </v>
      </c>
      <c r="C39" s="2" t="s">
        <v>183</v>
      </c>
      <c r="D39" s="72" t="s">
        <v>25</v>
      </c>
      <c r="E39" s="73">
        <f>E37</f>
        <v>4545</v>
      </c>
      <c r="F39" s="74"/>
      <c r="G39" s="81">
        <f t="shared" ref="G39" si="0">ROUND(E39*F39,2)</f>
        <v>0</v>
      </c>
    </row>
    <row r="40" spans="1:7" s="14" customFormat="1" ht="41.45" customHeight="1" x14ac:dyDescent="0.2">
      <c r="A40" s="70"/>
      <c r="B40" s="76"/>
      <c r="C40" s="1" t="s">
        <v>184</v>
      </c>
      <c r="D40" s="72"/>
      <c r="E40" s="73"/>
      <c r="F40" s="74"/>
      <c r="G40" s="82"/>
    </row>
    <row r="41" spans="1:7" s="14" customFormat="1" ht="22.9" customHeight="1" x14ac:dyDescent="0.2">
      <c r="A41" s="70">
        <v>19</v>
      </c>
      <c r="B41" s="75" t="str">
        <f>B39</f>
        <v xml:space="preserve">Wizja w terenie 
Projekt </v>
      </c>
      <c r="C41" s="1" t="s">
        <v>26</v>
      </c>
      <c r="D41" s="85" t="s">
        <v>27</v>
      </c>
      <c r="E41" s="73">
        <f>6054*3.9/10000</f>
        <v>2.3610599999999997</v>
      </c>
      <c r="F41" s="79"/>
      <c r="G41" s="81">
        <f t="shared" ref="G41" si="1">ROUND(E41*F41,2)</f>
        <v>0</v>
      </c>
    </row>
    <row r="42" spans="1:7" s="14" customFormat="1" ht="25.15" customHeight="1" x14ac:dyDescent="0.2">
      <c r="A42" s="70"/>
      <c r="B42" s="76"/>
      <c r="C42" s="1" t="s">
        <v>71</v>
      </c>
      <c r="D42" s="86"/>
      <c r="E42" s="73"/>
      <c r="F42" s="80"/>
      <c r="G42" s="82"/>
    </row>
    <row r="43" spans="1:7" s="14" customFormat="1" ht="54" customHeight="1" x14ac:dyDescent="0.2">
      <c r="A43" s="70">
        <v>20</v>
      </c>
      <c r="B43" s="75" t="str">
        <f>B19</f>
        <v xml:space="preserve">Wizja w terenie 
Projekt </v>
      </c>
      <c r="C43" s="1" t="s">
        <v>28</v>
      </c>
      <c r="D43" s="72" t="s">
        <v>10</v>
      </c>
      <c r="E43" s="77">
        <f>2*4830 - 19*4-2*330-315-450-650-50-250-30-150-60-650-130-27*5</f>
        <v>6054</v>
      </c>
      <c r="F43" s="74"/>
      <c r="G43" s="81">
        <f t="shared" ref="G43" si="2">ROUND(E43*F43,2)</f>
        <v>0</v>
      </c>
    </row>
    <row r="44" spans="1:7" s="14" customFormat="1" ht="21" customHeight="1" x14ac:dyDescent="0.2">
      <c r="A44" s="70"/>
      <c r="B44" s="76"/>
      <c r="C44" s="1" t="s">
        <v>59</v>
      </c>
      <c r="D44" s="72"/>
      <c r="E44" s="78"/>
      <c r="F44" s="74"/>
      <c r="G44" s="82"/>
    </row>
    <row r="45" spans="1:7" s="14" customFormat="1" ht="37.15" customHeight="1" x14ac:dyDescent="0.2">
      <c r="A45" s="70">
        <v>21</v>
      </c>
      <c r="B45" s="75" t="str">
        <f>B43</f>
        <v xml:space="preserve">Wizja w terenie 
Projekt </v>
      </c>
      <c r="C45" s="1" t="s">
        <v>62</v>
      </c>
      <c r="D45" s="72" t="s">
        <v>10</v>
      </c>
      <c r="E45" s="77">
        <v>12</v>
      </c>
      <c r="F45" s="74"/>
      <c r="G45" s="81">
        <f>ROUND(E45*F45,2)</f>
        <v>0</v>
      </c>
    </row>
    <row r="46" spans="1:7" s="14" customFormat="1" ht="22.9" customHeight="1" x14ac:dyDescent="0.2">
      <c r="A46" s="70"/>
      <c r="B46" s="76"/>
      <c r="C46" s="1" t="s">
        <v>61</v>
      </c>
      <c r="D46" s="72"/>
      <c r="E46" s="78"/>
      <c r="F46" s="74"/>
      <c r="G46" s="82"/>
    </row>
    <row r="47" spans="1:7" s="14" customFormat="1" ht="49.9" customHeight="1" x14ac:dyDescent="0.2">
      <c r="A47" s="70">
        <v>22</v>
      </c>
      <c r="B47" s="75" t="str">
        <f>B23</f>
        <v xml:space="preserve">Wizja w terenie 
Projekt </v>
      </c>
      <c r="C47" s="1" t="s">
        <v>89</v>
      </c>
      <c r="D47" s="72" t="s">
        <v>23</v>
      </c>
      <c r="E47" s="77">
        <v>1</v>
      </c>
      <c r="F47" s="74"/>
      <c r="G47" s="81">
        <f t="shared" ref="G47" si="3">ROUND(E47*F47,2)</f>
        <v>0</v>
      </c>
    </row>
    <row r="48" spans="1:7" s="14" customFormat="1" ht="20.45" customHeight="1" x14ac:dyDescent="0.2">
      <c r="A48" s="70"/>
      <c r="B48" s="76"/>
      <c r="C48" s="1" t="s">
        <v>68</v>
      </c>
      <c r="D48" s="72"/>
      <c r="E48" s="78"/>
      <c r="F48" s="74"/>
      <c r="G48" s="82"/>
    </row>
    <row r="49" spans="1:7" s="14" customFormat="1" ht="40.5" customHeight="1" x14ac:dyDescent="0.2">
      <c r="A49" s="70">
        <v>23</v>
      </c>
      <c r="B49" s="75" t="str">
        <f>B25</f>
        <v xml:space="preserve">Wizja w terenie 
Projekt </v>
      </c>
      <c r="C49" s="1" t="s">
        <v>33</v>
      </c>
      <c r="D49" s="72" t="s">
        <v>11</v>
      </c>
      <c r="E49" s="77">
        <v>15</v>
      </c>
      <c r="F49" s="74"/>
      <c r="G49" s="81">
        <f t="shared" ref="G49" si="4">ROUND(E49*F49,2)</f>
        <v>0</v>
      </c>
    </row>
    <row r="50" spans="1:7" s="14" customFormat="1" ht="26.45" customHeight="1" x14ac:dyDescent="0.2">
      <c r="A50" s="70"/>
      <c r="B50" s="76"/>
      <c r="C50" s="1" t="s">
        <v>284</v>
      </c>
      <c r="D50" s="72"/>
      <c r="E50" s="78"/>
      <c r="F50" s="74"/>
      <c r="G50" s="82"/>
    </row>
    <row r="51" spans="1:7" s="14" customFormat="1" ht="33.75" customHeight="1" x14ac:dyDescent="0.2">
      <c r="A51" s="70">
        <v>24</v>
      </c>
      <c r="B51" s="75" t="str">
        <f>B27</f>
        <v xml:space="preserve">Wizja w terenie 
Projekt </v>
      </c>
      <c r="C51" s="1" t="s">
        <v>90</v>
      </c>
      <c r="D51" s="72" t="s">
        <v>25</v>
      </c>
      <c r="E51" s="77">
        <f>126+33.98+79.52+22.5</f>
        <v>262</v>
      </c>
      <c r="F51" s="74"/>
      <c r="G51" s="81">
        <f>ROUND(E51*F51,2)</f>
        <v>0</v>
      </c>
    </row>
    <row r="52" spans="1:7" s="14" customFormat="1" ht="141.6" customHeight="1" x14ac:dyDescent="0.2">
      <c r="A52" s="70"/>
      <c r="B52" s="76"/>
      <c r="C52" s="1" t="s">
        <v>185</v>
      </c>
      <c r="D52" s="72"/>
      <c r="E52" s="78"/>
      <c r="F52" s="74"/>
      <c r="G52" s="82"/>
    </row>
    <row r="53" spans="1:7" s="14" customFormat="1" ht="37.9" customHeight="1" x14ac:dyDescent="0.2">
      <c r="A53" s="70">
        <v>25</v>
      </c>
      <c r="B53" s="75" t="str">
        <f>B19</f>
        <v xml:space="preserve">Wizja w terenie 
Projekt </v>
      </c>
      <c r="C53" s="2" t="s">
        <v>75</v>
      </c>
      <c r="D53" s="72" t="s">
        <v>25</v>
      </c>
      <c r="E53" s="73">
        <f>262-22.5</f>
        <v>239.5</v>
      </c>
      <c r="F53" s="74"/>
      <c r="G53" s="81">
        <f t="shared" ref="G53" si="5">ROUND(E53*F53,2)</f>
        <v>0</v>
      </c>
    </row>
    <row r="54" spans="1:7" s="14" customFormat="1" ht="23.45" customHeight="1" x14ac:dyDescent="0.2">
      <c r="A54" s="70"/>
      <c r="B54" s="76"/>
      <c r="C54" s="1" t="s">
        <v>186</v>
      </c>
      <c r="D54" s="72"/>
      <c r="E54" s="73"/>
      <c r="F54" s="74"/>
      <c r="G54" s="82"/>
    </row>
    <row r="55" spans="1:7" s="14" customFormat="1" ht="48.6" customHeight="1" x14ac:dyDescent="0.2">
      <c r="A55" s="70">
        <v>26</v>
      </c>
      <c r="B55" s="75" t="str">
        <f>B53</f>
        <v xml:space="preserve">Wizja w terenie 
Projekt </v>
      </c>
      <c r="C55" s="2" t="s">
        <v>60</v>
      </c>
      <c r="D55" s="72" t="s">
        <v>10</v>
      </c>
      <c r="E55" s="73">
        <f>7+4*5+10*4+2*9+13*5+3*6</f>
        <v>168</v>
      </c>
      <c r="F55" s="74"/>
      <c r="G55" s="81">
        <f t="shared" ref="G55" si="6">ROUND(E55*F55,2)</f>
        <v>0</v>
      </c>
    </row>
    <row r="56" spans="1:7" s="14" customFormat="1" ht="42.6" customHeight="1" x14ac:dyDescent="0.2">
      <c r="A56" s="70"/>
      <c r="B56" s="76"/>
      <c r="C56" s="1" t="s">
        <v>63</v>
      </c>
      <c r="D56" s="72"/>
      <c r="E56" s="73"/>
      <c r="F56" s="74"/>
      <c r="G56" s="82"/>
    </row>
    <row r="57" spans="1:7" s="14" customFormat="1" ht="48.6" customHeight="1" x14ac:dyDescent="0.2">
      <c r="A57" s="70">
        <v>27</v>
      </c>
      <c r="B57" s="75" t="str">
        <f>B55</f>
        <v xml:space="preserve">Wizja w terenie 
Projekt </v>
      </c>
      <c r="C57" s="2" t="s">
        <v>64</v>
      </c>
      <c r="D57" s="72" t="s">
        <v>10</v>
      </c>
      <c r="E57" s="73">
        <v>8</v>
      </c>
      <c r="F57" s="74"/>
      <c r="G57" s="81">
        <f>ROUND(E57*F57,2)</f>
        <v>0</v>
      </c>
    </row>
    <row r="58" spans="1:7" s="14" customFormat="1" ht="36" customHeight="1" x14ac:dyDescent="0.2">
      <c r="A58" s="70"/>
      <c r="B58" s="76"/>
      <c r="C58" s="1" t="s">
        <v>65</v>
      </c>
      <c r="D58" s="72"/>
      <c r="E58" s="73"/>
      <c r="F58" s="74"/>
      <c r="G58" s="82"/>
    </row>
    <row r="59" spans="1:7" s="14" customFormat="1" ht="54.6" customHeight="1" x14ac:dyDescent="0.2">
      <c r="A59" s="70">
        <v>28</v>
      </c>
      <c r="B59" s="75" t="str">
        <f>B35</f>
        <v xml:space="preserve">Wizja w terenie 
Projekt </v>
      </c>
      <c r="C59" s="2" t="s">
        <v>74</v>
      </c>
      <c r="D59" s="72" t="s">
        <v>25</v>
      </c>
      <c r="E59" s="73">
        <v>20</v>
      </c>
      <c r="F59" s="74"/>
      <c r="G59" s="81">
        <f t="shared" ref="G59" si="7">ROUND(E59*F59,2)</f>
        <v>0</v>
      </c>
    </row>
    <row r="60" spans="1:7" s="14" customFormat="1" ht="26.45" customHeight="1" x14ac:dyDescent="0.2">
      <c r="A60" s="70"/>
      <c r="B60" s="76"/>
      <c r="C60" s="1" t="s">
        <v>187</v>
      </c>
      <c r="D60" s="72"/>
      <c r="E60" s="73"/>
      <c r="F60" s="74"/>
      <c r="G60" s="82"/>
    </row>
    <row r="61" spans="1:7" s="14" customFormat="1" ht="37.9" customHeight="1" x14ac:dyDescent="0.2">
      <c r="A61" s="70">
        <v>29</v>
      </c>
      <c r="B61" s="75" t="str">
        <f>B27</f>
        <v xml:space="preserve">Wizja w terenie 
Projekt </v>
      </c>
      <c r="C61" s="2" t="s">
        <v>76</v>
      </c>
      <c r="D61" s="72" t="s">
        <v>25</v>
      </c>
      <c r="E61" s="73">
        <v>20</v>
      </c>
      <c r="F61" s="74"/>
      <c r="G61" s="81">
        <f t="shared" ref="G61" si="8">ROUND(E61*F61,2)</f>
        <v>0</v>
      </c>
    </row>
    <row r="62" spans="1:7" s="14" customFormat="1" ht="23.45" customHeight="1" x14ac:dyDescent="0.2">
      <c r="A62" s="70"/>
      <c r="B62" s="76"/>
      <c r="C62" s="1" t="s">
        <v>188</v>
      </c>
      <c r="D62" s="72"/>
      <c r="E62" s="73"/>
      <c r="F62" s="74"/>
      <c r="G62" s="82"/>
    </row>
    <row r="63" spans="1:7" s="14" customFormat="1" ht="39" customHeight="1" x14ac:dyDescent="0.2">
      <c r="A63" s="70">
        <v>30</v>
      </c>
      <c r="B63" s="75" t="str">
        <f>B29</f>
        <v xml:space="preserve">Wizja w terenie 
Projekt </v>
      </c>
      <c r="C63" s="2" t="s">
        <v>109</v>
      </c>
      <c r="D63" s="72" t="s">
        <v>25</v>
      </c>
      <c r="E63" s="73">
        <f>(4830-900)*1.2</f>
        <v>4716</v>
      </c>
      <c r="F63" s="74"/>
      <c r="G63" s="81">
        <f t="shared" ref="G63" si="9">ROUND(E63*F63,2)</f>
        <v>0</v>
      </c>
    </row>
    <row r="64" spans="1:7" s="14" customFormat="1" ht="23.45" customHeight="1" x14ac:dyDescent="0.2">
      <c r="A64" s="70"/>
      <c r="B64" s="76"/>
      <c r="C64" s="1" t="s">
        <v>189</v>
      </c>
      <c r="D64" s="72"/>
      <c r="E64" s="73"/>
      <c r="F64" s="74"/>
      <c r="G64" s="82"/>
    </row>
    <row r="65" spans="1:7" s="14" customFormat="1" ht="44.45" customHeight="1" x14ac:dyDescent="0.2">
      <c r="A65" s="70">
        <v>31</v>
      </c>
      <c r="B65" s="75" t="str">
        <f>B31</f>
        <v xml:space="preserve">Wizja w terenie 
Projekt </v>
      </c>
      <c r="C65" s="2" t="s">
        <v>85</v>
      </c>
      <c r="D65" s="72" t="s">
        <v>25</v>
      </c>
      <c r="E65" s="73">
        <f>5*6*4.5</f>
        <v>135</v>
      </c>
      <c r="F65" s="74"/>
      <c r="G65" s="81">
        <f>ROUND(E65*F65,2)</f>
        <v>0</v>
      </c>
    </row>
    <row r="66" spans="1:7" s="14" customFormat="1" ht="23.45" customHeight="1" thickBot="1" x14ac:dyDescent="0.25">
      <c r="A66" s="70"/>
      <c r="B66" s="76"/>
      <c r="C66" s="1" t="s">
        <v>190</v>
      </c>
      <c r="D66" s="72"/>
      <c r="E66" s="73"/>
      <c r="F66" s="74"/>
      <c r="G66" s="82"/>
    </row>
    <row r="67" spans="1:7" s="14" customFormat="1" ht="28.9" customHeight="1" thickBot="1" x14ac:dyDescent="0.25">
      <c r="A67" s="98" t="s">
        <v>32</v>
      </c>
      <c r="B67" s="99"/>
      <c r="C67" s="99"/>
      <c r="D67" s="99"/>
      <c r="E67" s="99"/>
      <c r="F67" s="100"/>
      <c r="G67" s="30">
        <f>SUM(G6,G7,G9,G11,G13,G15,G17,G19,G21,G23,G25,G27,G29,G31,G33,G35,G37,G39,G41,G43,G45,G47,G49,G51,G53,G55,G57,G59,G61,G63,G65)</f>
        <v>0</v>
      </c>
    </row>
    <row r="68" spans="1:7" s="14" customFormat="1" ht="25.15" customHeight="1" x14ac:dyDescent="0.2">
      <c r="A68" s="67" t="s">
        <v>44</v>
      </c>
      <c r="B68" s="68"/>
      <c r="C68" s="68"/>
      <c r="D68" s="68"/>
      <c r="E68" s="68"/>
      <c r="F68" s="68"/>
      <c r="G68" s="69"/>
    </row>
    <row r="69" spans="1:7" s="14" customFormat="1" ht="39.6" customHeight="1" x14ac:dyDescent="0.2">
      <c r="A69" s="83">
        <v>32</v>
      </c>
      <c r="B69" s="75" t="str">
        <f>B65</f>
        <v xml:space="preserve">Wizja w terenie 
Projekt </v>
      </c>
      <c r="C69" s="1" t="s">
        <v>86</v>
      </c>
      <c r="D69" s="85" t="s">
        <v>10</v>
      </c>
      <c r="E69" s="77">
        <v>168</v>
      </c>
      <c r="F69" s="79"/>
      <c r="G69" s="96">
        <f>ROUND(E69*F69,2)</f>
        <v>0</v>
      </c>
    </row>
    <row r="70" spans="1:7" s="14" customFormat="1" ht="25.15" customHeight="1" x14ac:dyDescent="0.2">
      <c r="A70" s="84"/>
      <c r="B70" s="76"/>
      <c r="C70" s="1" t="s">
        <v>87</v>
      </c>
      <c r="D70" s="86"/>
      <c r="E70" s="78"/>
      <c r="F70" s="80"/>
      <c r="G70" s="97"/>
    </row>
    <row r="71" spans="1:7" s="14" customFormat="1" ht="25.9" customHeight="1" x14ac:dyDescent="0.2">
      <c r="A71" s="83">
        <v>33</v>
      </c>
      <c r="B71" s="75" t="str">
        <f>B69</f>
        <v xml:space="preserve">Wizja w terenie 
Projekt </v>
      </c>
      <c r="C71" s="1" t="s">
        <v>69</v>
      </c>
      <c r="D71" s="85" t="s">
        <v>11</v>
      </c>
      <c r="E71" s="77">
        <v>54</v>
      </c>
      <c r="F71" s="79"/>
      <c r="G71" s="96">
        <f t="shared" ref="G71" si="10">ROUND(E71*F71,2)</f>
        <v>0</v>
      </c>
    </row>
    <row r="72" spans="1:7" s="14" customFormat="1" ht="18.600000000000001" customHeight="1" x14ac:dyDescent="0.2">
      <c r="A72" s="84"/>
      <c r="B72" s="76"/>
      <c r="C72" s="1" t="s">
        <v>70</v>
      </c>
      <c r="D72" s="86"/>
      <c r="E72" s="78"/>
      <c r="F72" s="80"/>
      <c r="G72" s="97"/>
    </row>
    <row r="73" spans="1:7" s="14" customFormat="1" ht="45.6" customHeight="1" x14ac:dyDescent="0.2">
      <c r="A73" s="83">
        <v>34</v>
      </c>
      <c r="B73" s="75" t="str">
        <f>B71</f>
        <v xml:space="preserve">Wizja w terenie 
Projekt </v>
      </c>
      <c r="C73" s="1" t="s">
        <v>77</v>
      </c>
      <c r="D73" s="85" t="s">
        <v>11</v>
      </c>
      <c r="E73" s="77">
        <v>1</v>
      </c>
      <c r="F73" s="79"/>
      <c r="G73" s="96">
        <f t="shared" ref="G73" si="11">ROUND(E73*F73,2)</f>
        <v>0</v>
      </c>
    </row>
    <row r="74" spans="1:7" s="14" customFormat="1" ht="19.149999999999999" customHeight="1" x14ac:dyDescent="0.2">
      <c r="A74" s="84"/>
      <c r="B74" s="76"/>
      <c r="C74" s="1" t="s">
        <v>22</v>
      </c>
      <c r="D74" s="86"/>
      <c r="E74" s="78"/>
      <c r="F74" s="80"/>
      <c r="G74" s="97"/>
    </row>
    <row r="75" spans="1:7" s="14" customFormat="1" ht="45.6" customHeight="1" x14ac:dyDescent="0.2">
      <c r="A75" s="83">
        <v>35</v>
      </c>
      <c r="B75" s="75" t="str">
        <f>B73</f>
        <v xml:space="preserve">Wizja w terenie 
Projekt </v>
      </c>
      <c r="C75" s="1" t="s">
        <v>88</v>
      </c>
      <c r="D75" s="85" t="s">
        <v>11</v>
      </c>
      <c r="E75" s="77">
        <v>2</v>
      </c>
      <c r="F75" s="79"/>
      <c r="G75" s="96">
        <f t="shared" ref="G75" si="12">ROUND(E75*F75,2)</f>
        <v>0</v>
      </c>
    </row>
    <row r="76" spans="1:7" s="14" customFormat="1" ht="20.45" customHeight="1" x14ac:dyDescent="0.2">
      <c r="A76" s="84"/>
      <c r="B76" s="76"/>
      <c r="C76" s="1" t="s">
        <v>22</v>
      </c>
      <c r="D76" s="86"/>
      <c r="E76" s="78"/>
      <c r="F76" s="80"/>
      <c r="G76" s="97"/>
    </row>
    <row r="77" spans="1:7" s="14" customFormat="1" ht="48.6" customHeight="1" x14ac:dyDescent="0.2">
      <c r="A77" s="83">
        <v>36</v>
      </c>
      <c r="B77" s="75" t="str">
        <f>B75</f>
        <v xml:space="preserve">Wizja w terenie 
Projekt </v>
      </c>
      <c r="C77" s="1" t="s">
        <v>78</v>
      </c>
      <c r="D77" s="85" t="s">
        <v>10</v>
      </c>
      <c r="E77" s="77">
        <v>20</v>
      </c>
      <c r="F77" s="79"/>
      <c r="G77" s="96">
        <f t="shared" ref="G77" si="13">ROUND(E77*F77,2)</f>
        <v>0</v>
      </c>
    </row>
    <row r="78" spans="1:7" s="14" customFormat="1" ht="21" customHeight="1" x14ac:dyDescent="0.2">
      <c r="A78" s="84"/>
      <c r="B78" s="76"/>
      <c r="C78" s="1" t="s">
        <v>79</v>
      </c>
      <c r="D78" s="86"/>
      <c r="E78" s="78"/>
      <c r="F78" s="80"/>
      <c r="G78" s="97"/>
    </row>
    <row r="79" spans="1:7" s="14" customFormat="1" ht="65.45" customHeight="1" x14ac:dyDescent="0.2">
      <c r="A79" s="83">
        <v>37</v>
      </c>
      <c r="B79" s="75" t="str">
        <f>B77</f>
        <v xml:space="preserve">Wizja w terenie 
Projekt </v>
      </c>
      <c r="C79" s="1" t="s">
        <v>80</v>
      </c>
      <c r="D79" s="85" t="s">
        <v>25</v>
      </c>
      <c r="E79" s="77">
        <f>6.5*3.75</f>
        <v>24.375</v>
      </c>
      <c r="F79" s="79"/>
      <c r="G79" s="96">
        <f t="shared" ref="G79" si="14">ROUND(E79*F79,2)</f>
        <v>0</v>
      </c>
    </row>
    <row r="80" spans="1:7" s="14" customFormat="1" ht="19.149999999999999" customHeight="1" x14ac:dyDescent="0.2">
      <c r="A80" s="84"/>
      <c r="B80" s="76"/>
      <c r="C80" s="1" t="s">
        <v>191</v>
      </c>
      <c r="D80" s="86"/>
      <c r="E80" s="78"/>
      <c r="F80" s="80"/>
      <c r="G80" s="97"/>
    </row>
    <row r="81" spans="1:7" s="14" customFormat="1" ht="53.45" customHeight="1" x14ac:dyDescent="0.2">
      <c r="A81" s="83">
        <v>38</v>
      </c>
      <c r="B81" s="75" t="str">
        <f>B79</f>
        <v xml:space="preserve">Wizja w terenie 
Projekt </v>
      </c>
      <c r="C81" s="1" t="s">
        <v>192</v>
      </c>
      <c r="D81" s="85" t="s">
        <v>25</v>
      </c>
      <c r="E81" s="77">
        <f>6.5*3.75</f>
        <v>24.375</v>
      </c>
      <c r="F81" s="79"/>
      <c r="G81" s="96">
        <f t="shared" ref="G81" si="15">ROUND(E81*F81,2)</f>
        <v>0</v>
      </c>
    </row>
    <row r="82" spans="1:7" s="14" customFormat="1" ht="19.899999999999999" customHeight="1" x14ac:dyDescent="0.2">
      <c r="A82" s="84"/>
      <c r="B82" s="76"/>
      <c r="C82" s="1" t="s">
        <v>191</v>
      </c>
      <c r="D82" s="86"/>
      <c r="E82" s="78"/>
      <c r="F82" s="80"/>
      <c r="G82" s="97"/>
    </row>
    <row r="83" spans="1:7" s="14" customFormat="1" ht="48.6" customHeight="1" x14ac:dyDescent="0.2">
      <c r="A83" s="83">
        <v>39</v>
      </c>
      <c r="B83" s="75" t="str">
        <f>B81</f>
        <v xml:space="preserve">Wizja w terenie 
Projekt </v>
      </c>
      <c r="C83" s="2" t="s">
        <v>81</v>
      </c>
      <c r="D83" s="72" t="s">
        <v>10</v>
      </c>
      <c r="E83" s="73">
        <v>8</v>
      </c>
      <c r="F83" s="74"/>
      <c r="G83" s="96">
        <f>ROUND(E83*F83,2)</f>
        <v>0</v>
      </c>
    </row>
    <row r="84" spans="1:7" s="14" customFormat="1" ht="21.6" customHeight="1" x14ac:dyDescent="0.2">
      <c r="A84" s="84"/>
      <c r="B84" s="76"/>
      <c r="C84" s="1" t="s">
        <v>82</v>
      </c>
      <c r="D84" s="72"/>
      <c r="E84" s="73"/>
      <c r="F84" s="74"/>
      <c r="G84" s="97"/>
    </row>
    <row r="85" spans="1:7" s="14" customFormat="1" ht="24.6" customHeight="1" x14ac:dyDescent="0.2">
      <c r="A85" s="83">
        <v>40</v>
      </c>
      <c r="B85" s="75" t="str">
        <f>B83</f>
        <v xml:space="preserve">Wizja w terenie 
Projekt </v>
      </c>
      <c r="C85" s="2" t="s">
        <v>83</v>
      </c>
      <c r="D85" s="72" t="s">
        <v>11</v>
      </c>
      <c r="E85" s="73">
        <v>2</v>
      </c>
      <c r="F85" s="74"/>
      <c r="G85" s="96">
        <f t="shared" ref="G85" si="16">ROUND(E85*F85,2)</f>
        <v>0</v>
      </c>
    </row>
    <row r="86" spans="1:7" s="14" customFormat="1" ht="21.6" customHeight="1" thickBot="1" x14ac:dyDescent="0.25">
      <c r="A86" s="84"/>
      <c r="B86" s="76"/>
      <c r="C86" s="1" t="s">
        <v>84</v>
      </c>
      <c r="D86" s="72"/>
      <c r="E86" s="73"/>
      <c r="F86" s="74"/>
      <c r="G86" s="97"/>
    </row>
    <row r="87" spans="1:7" s="14" customFormat="1" ht="26.25" customHeight="1" thickBot="1" x14ac:dyDescent="0.25">
      <c r="A87" s="98" t="s">
        <v>31</v>
      </c>
      <c r="B87" s="99"/>
      <c r="C87" s="99"/>
      <c r="D87" s="99"/>
      <c r="E87" s="99"/>
      <c r="F87" s="99"/>
      <c r="G87" s="30">
        <f>SUM(G69,G71,G73,G75,G77,G79,G81,G83,G85)</f>
        <v>0</v>
      </c>
    </row>
    <row r="88" spans="1:7" s="14" customFormat="1" ht="27" customHeight="1" x14ac:dyDescent="0.2">
      <c r="A88" s="67" t="s">
        <v>45</v>
      </c>
      <c r="B88" s="68"/>
      <c r="C88" s="68"/>
      <c r="D88" s="68"/>
      <c r="E88" s="68"/>
      <c r="F88" s="68"/>
      <c r="G88" s="101"/>
    </row>
    <row r="89" spans="1:7" s="14" customFormat="1" ht="58.9" customHeight="1" x14ac:dyDescent="0.2">
      <c r="A89" s="83">
        <f>41</f>
        <v>41</v>
      </c>
      <c r="B89" s="75" t="str">
        <f>B85</f>
        <v xml:space="preserve">Wizja w terenie 
Projekt </v>
      </c>
      <c r="C89" s="1" t="s">
        <v>193</v>
      </c>
      <c r="D89" s="85" t="s">
        <v>25</v>
      </c>
      <c r="E89" s="77">
        <f>E39</f>
        <v>4545</v>
      </c>
      <c r="F89" s="79"/>
      <c r="G89" s="96">
        <f>ROUND(E89*F89,2)</f>
        <v>0</v>
      </c>
    </row>
    <row r="90" spans="1:7" s="14" customFormat="1" ht="45.6" customHeight="1" x14ac:dyDescent="0.2">
      <c r="A90" s="84"/>
      <c r="B90" s="76"/>
      <c r="C90" s="1" t="s">
        <v>194</v>
      </c>
      <c r="D90" s="86"/>
      <c r="E90" s="78"/>
      <c r="F90" s="80"/>
      <c r="G90" s="97"/>
    </row>
    <row r="91" spans="1:7" s="14" customFormat="1" ht="53.45" customHeight="1" x14ac:dyDescent="0.2">
      <c r="A91" s="83">
        <v>42</v>
      </c>
      <c r="B91" s="75" t="str">
        <f>B93</f>
        <v xml:space="preserve">Wizja w terenie 
Projekt </v>
      </c>
      <c r="C91" s="1" t="s">
        <v>108</v>
      </c>
      <c r="D91" s="85" t="s">
        <v>25</v>
      </c>
      <c r="E91" s="77">
        <f>4635+77</f>
        <v>4712</v>
      </c>
      <c r="F91" s="79"/>
      <c r="G91" s="96">
        <f t="shared" ref="G91" si="17">ROUND(E91*F91,2)</f>
        <v>0</v>
      </c>
    </row>
    <row r="92" spans="1:7" s="14" customFormat="1" ht="93" customHeight="1" x14ac:dyDescent="0.2">
      <c r="A92" s="84"/>
      <c r="B92" s="76"/>
      <c r="C92" s="1" t="s">
        <v>195</v>
      </c>
      <c r="D92" s="86"/>
      <c r="E92" s="78"/>
      <c r="F92" s="80"/>
      <c r="G92" s="97"/>
    </row>
    <row r="93" spans="1:7" s="14" customFormat="1" ht="39" customHeight="1" x14ac:dyDescent="0.2">
      <c r="A93" s="83">
        <v>43</v>
      </c>
      <c r="B93" s="75" t="str">
        <f>B29</f>
        <v xml:space="preserve">Wizja w terenie 
Projekt </v>
      </c>
      <c r="C93" s="1" t="s">
        <v>29</v>
      </c>
      <c r="D93" s="85" t="s">
        <v>25</v>
      </c>
      <c r="E93" s="77">
        <f>190+1049.65</f>
        <v>1239.6500000000001</v>
      </c>
      <c r="F93" s="79"/>
      <c r="G93" s="96">
        <f t="shared" ref="G93" si="18">ROUND(E93*F93,2)</f>
        <v>0</v>
      </c>
    </row>
    <row r="94" spans="1:7" s="14" customFormat="1" ht="59.45" customHeight="1" x14ac:dyDescent="0.2">
      <c r="A94" s="84"/>
      <c r="B94" s="76"/>
      <c r="C94" s="1" t="str">
        <f>C36</f>
        <v>Cały  odcinek
F=19,00* 4,00 * 2,50 =  190,00 m2
F=28,50*23+48,20*3+37,75*5+39,2*1+12*1,8=1049,65 m2</v>
      </c>
      <c r="D94" s="86"/>
      <c r="E94" s="78"/>
      <c r="F94" s="80"/>
      <c r="G94" s="97"/>
    </row>
    <row r="95" spans="1:7" s="14" customFormat="1" ht="25.15" customHeight="1" x14ac:dyDescent="0.2">
      <c r="A95" s="67" t="s">
        <v>46</v>
      </c>
      <c r="B95" s="68"/>
      <c r="C95" s="68"/>
      <c r="D95" s="68"/>
      <c r="E95" s="68"/>
      <c r="F95" s="68"/>
      <c r="G95" s="69"/>
    </row>
    <row r="96" spans="1:7" s="14" customFormat="1" ht="27" customHeight="1" x14ac:dyDescent="0.2">
      <c r="A96" s="102">
        <v>44</v>
      </c>
      <c r="B96" s="71" t="str">
        <f>B93</f>
        <v xml:space="preserve">Wizja w terenie 
Projekt </v>
      </c>
      <c r="C96" s="2" t="s">
        <v>196</v>
      </c>
      <c r="D96" s="72" t="s">
        <v>25</v>
      </c>
      <c r="E96" s="73">
        <f>E51</f>
        <v>262</v>
      </c>
      <c r="F96" s="74"/>
      <c r="G96" s="103">
        <f>ROUND(E96*F96,2)</f>
        <v>0</v>
      </c>
    </row>
    <row r="97" spans="1:7" s="14" customFormat="1" ht="139.9" customHeight="1" x14ac:dyDescent="0.2">
      <c r="A97" s="102"/>
      <c r="B97" s="71"/>
      <c r="C97" s="1" t="s">
        <v>197</v>
      </c>
      <c r="D97" s="72"/>
      <c r="E97" s="73"/>
      <c r="F97" s="74"/>
      <c r="G97" s="103"/>
    </row>
    <row r="98" spans="1:7" s="14" customFormat="1" ht="34.15" customHeight="1" x14ac:dyDescent="0.2">
      <c r="A98" s="102">
        <v>45</v>
      </c>
      <c r="B98" s="71" t="str">
        <f>B96</f>
        <v xml:space="preserve">Wizja w terenie 
Projekt </v>
      </c>
      <c r="C98" s="2" t="s">
        <v>106</v>
      </c>
      <c r="D98" s="72" t="s">
        <v>25</v>
      </c>
      <c r="E98" s="73">
        <f>E96</f>
        <v>262</v>
      </c>
      <c r="F98" s="74"/>
      <c r="G98" s="103">
        <f t="shared" ref="G98" si="19">ROUND(E98*F98,)</f>
        <v>0</v>
      </c>
    </row>
    <row r="99" spans="1:7" s="14" customFormat="1" ht="141" customHeight="1" x14ac:dyDescent="0.2">
      <c r="A99" s="102"/>
      <c r="B99" s="71"/>
      <c r="C99" s="1" t="s">
        <v>198</v>
      </c>
      <c r="D99" s="72"/>
      <c r="E99" s="73"/>
      <c r="F99" s="74"/>
      <c r="G99" s="103"/>
    </row>
    <row r="100" spans="1:7" s="14" customFormat="1" ht="38.450000000000003" customHeight="1" x14ac:dyDescent="0.2">
      <c r="A100" s="102">
        <v>46</v>
      </c>
      <c r="B100" s="71" t="str">
        <f>B98</f>
        <v xml:space="preserve">Wizja w terenie 
Projekt </v>
      </c>
      <c r="C100" s="2" t="s">
        <v>91</v>
      </c>
      <c r="D100" s="72" t="s">
        <v>25</v>
      </c>
      <c r="E100" s="73">
        <f>1239.65+4635+77</f>
        <v>5951.65</v>
      </c>
      <c r="F100" s="74"/>
      <c r="G100" s="103">
        <f>ROUND(E100*F100,2)</f>
        <v>0</v>
      </c>
    </row>
    <row r="101" spans="1:7" s="14" customFormat="1" ht="121.15" customHeight="1" x14ac:dyDescent="0.2">
      <c r="A101" s="102"/>
      <c r="B101" s="71"/>
      <c r="C101" s="1" t="s">
        <v>199</v>
      </c>
      <c r="D101" s="72"/>
      <c r="E101" s="73"/>
      <c r="F101" s="74"/>
      <c r="G101" s="103"/>
    </row>
    <row r="102" spans="1:7" s="14" customFormat="1" ht="26.45" customHeight="1" x14ac:dyDescent="0.2">
      <c r="A102" s="67" t="s">
        <v>92</v>
      </c>
      <c r="B102" s="68"/>
      <c r="C102" s="68"/>
      <c r="D102" s="68"/>
      <c r="E102" s="68"/>
      <c r="F102" s="68"/>
      <c r="G102" s="69"/>
    </row>
    <row r="103" spans="1:7" s="14" customFormat="1" ht="38.450000000000003" customHeight="1" x14ac:dyDescent="0.2">
      <c r="A103" s="102">
        <v>47</v>
      </c>
      <c r="B103" s="71" t="str">
        <f>B100</f>
        <v xml:space="preserve">Wizja w terenie 
Projekt </v>
      </c>
      <c r="C103" s="2" t="s">
        <v>93</v>
      </c>
      <c r="D103" s="72" t="s">
        <v>25</v>
      </c>
      <c r="E103" s="73">
        <f>E100</f>
        <v>5951.65</v>
      </c>
      <c r="F103" s="74"/>
      <c r="G103" s="103">
        <f>ROUND(E103*F103,2)</f>
        <v>0</v>
      </c>
    </row>
    <row r="104" spans="1:7" s="14" customFormat="1" ht="26.45" customHeight="1" x14ac:dyDescent="0.2">
      <c r="A104" s="102"/>
      <c r="B104" s="71"/>
      <c r="C104" s="1" t="s">
        <v>200</v>
      </c>
      <c r="D104" s="72"/>
      <c r="E104" s="73"/>
      <c r="F104" s="74"/>
      <c r="G104" s="103"/>
    </row>
    <row r="105" spans="1:7" s="14" customFormat="1" ht="26.45" customHeight="1" x14ac:dyDescent="0.2">
      <c r="A105" s="67" t="s">
        <v>47</v>
      </c>
      <c r="B105" s="68"/>
      <c r="C105" s="68"/>
      <c r="D105" s="68"/>
      <c r="E105" s="68"/>
      <c r="F105" s="68"/>
      <c r="G105" s="69"/>
    </row>
    <row r="106" spans="1:7" s="14" customFormat="1" ht="53.45" customHeight="1" x14ac:dyDescent="0.2">
      <c r="A106" s="102">
        <v>48</v>
      </c>
      <c r="B106" s="71" t="str">
        <f>B98</f>
        <v xml:space="preserve">Wizja w terenie 
Projekt </v>
      </c>
      <c r="C106" s="2" t="s">
        <v>110</v>
      </c>
      <c r="D106" s="72" t="s">
        <v>25</v>
      </c>
      <c r="E106" s="73">
        <f>(4830-900)*1.2</f>
        <v>4716</v>
      </c>
      <c r="F106" s="74"/>
      <c r="G106" s="103">
        <f>ROUND(E106*F106,2)</f>
        <v>0</v>
      </c>
    </row>
    <row r="107" spans="1:7" s="14" customFormat="1" ht="23.45" customHeight="1" x14ac:dyDescent="0.2">
      <c r="A107" s="102"/>
      <c r="B107" s="71"/>
      <c r="C107" s="1" t="s">
        <v>201</v>
      </c>
      <c r="D107" s="72"/>
      <c r="E107" s="73"/>
      <c r="F107" s="74"/>
      <c r="G107" s="103"/>
    </row>
    <row r="108" spans="1:7" s="14" customFormat="1" ht="45.6" customHeight="1" x14ac:dyDescent="0.2">
      <c r="A108" s="102">
        <v>48</v>
      </c>
      <c r="B108" s="71" t="str">
        <f>B100</f>
        <v xml:space="preserve">Wizja w terenie 
Projekt </v>
      </c>
      <c r="C108" s="2" t="s">
        <v>111</v>
      </c>
      <c r="D108" s="72" t="s">
        <v>15</v>
      </c>
      <c r="E108" s="73">
        <v>95</v>
      </c>
      <c r="F108" s="74"/>
      <c r="G108" s="103">
        <f>ROUND(E108*F108,2)</f>
        <v>0</v>
      </c>
    </row>
    <row r="109" spans="1:7" s="14" customFormat="1" ht="22.15" customHeight="1" thickBot="1" x14ac:dyDescent="0.25">
      <c r="A109" s="102"/>
      <c r="B109" s="71"/>
      <c r="C109" s="1" t="s">
        <v>112</v>
      </c>
      <c r="D109" s="72"/>
      <c r="E109" s="73"/>
      <c r="F109" s="74"/>
      <c r="G109" s="103"/>
    </row>
    <row r="110" spans="1:7" s="14" customFormat="1" ht="24.75" customHeight="1" thickBot="1" x14ac:dyDescent="0.25">
      <c r="A110" s="107" t="s">
        <v>9</v>
      </c>
      <c r="B110" s="108"/>
      <c r="C110" s="108"/>
      <c r="D110" s="108"/>
      <c r="E110" s="108"/>
      <c r="F110" s="109"/>
      <c r="G110" s="15">
        <f>SUM(G108,G103,G100,G98,G96,G93,G91,G89)</f>
        <v>0</v>
      </c>
    </row>
    <row r="111" spans="1:7" s="14" customFormat="1" ht="25.9" customHeight="1" x14ac:dyDescent="0.2">
      <c r="A111" s="67" t="s">
        <v>48</v>
      </c>
      <c r="B111" s="68"/>
      <c r="C111" s="68"/>
      <c r="D111" s="68"/>
      <c r="E111" s="68"/>
      <c r="F111" s="68"/>
      <c r="G111" s="101"/>
    </row>
    <row r="112" spans="1:7" s="14" customFormat="1" ht="40.5" customHeight="1" x14ac:dyDescent="0.2">
      <c r="A112" s="70">
        <v>49</v>
      </c>
      <c r="B112" s="71" t="str">
        <f>B108</f>
        <v xml:space="preserve">Wizja w terenie 
Projekt </v>
      </c>
      <c r="C112" s="2" t="s">
        <v>107</v>
      </c>
      <c r="D112" s="72" t="s">
        <v>25</v>
      </c>
      <c r="E112" s="77">
        <f>E98</f>
        <v>262</v>
      </c>
      <c r="F112" s="79"/>
      <c r="G112" s="96">
        <f>ROUND(E112*F112,2)</f>
        <v>0</v>
      </c>
    </row>
    <row r="113" spans="1:7" s="14" customFormat="1" ht="138" customHeight="1" x14ac:dyDescent="0.2">
      <c r="A113" s="70"/>
      <c r="B113" s="71"/>
      <c r="C113" s="1" t="s">
        <v>198</v>
      </c>
      <c r="D113" s="104"/>
      <c r="E113" s="105"/>
      <c r="F113" s="106"/>
      <c r="G113" s="97"/>
    </row>
    <row r="114" spans="1:7" s="14" customFormat="1" ht="42.75" customHeight="1" x14ac:dyDescent="0.2">
      <c r="A114" s="70">
        <v>50</v>
      </c>
      <c r="B114" s="71" t="str">
        <f>B112</f>
        <v xml:space="preserve">Wizja w terenie 
Projekt </v>
      </c>
      <c r="C114" s="2" t="s">
        <v>94</v>
      </c>
      <c r="D114" s="72" t="s">
        <v>25</v>
      </c>
      <c r="E114" s="77">
        <v>14</v>
      </c>
      <c r="F114" s="79"/>
      <c r="G114" s="96">
        <f>ROUND(E114*F114,2)</f>
        <v>0</v>
      </c>
    </row>
    <row r="115" spans="1:7" s="14" customFormat="1" ht="24" customHeight="1" x14ac:dyDescent="0.2">
      <c r="A115" s="70"/>
      <c r="B115" s="71"/>
      <c r="C115" s="1" t="s">
        <v>202</v>
      </c>
      <c r="D115" s="104"/>
      <c r="E115" s="105"/>
      <c r="F115" s="106"/>
      <c r="G115" s="97"/>
    </row>
    <row r="116" spans="1:7" s="14" customFormat="1" ht="27.6" customHeight="1" x14ac:dyDescent="0.2">
      <c r="A116" s="67" t="s">
        <v>49</v>
      </c>
      <c r="B116" s="68"/>
      <c r="C116" s="68"/>
      <c r="D116" s="68"/>
      <c r="E116" s="68"/>
      <c r="F116" s="68"/>
      <c r="G116" s="101"/>
    </row>
    <row r="117" spans="1:7" s="14" customFormat="1" ht="57" customHeight="1" x14ac:dyDescent="0.2">
      <c r="A117" s="83">
        <v>51</v>
      </c>
      <c r="B117" s="75" t="str">
        <f>B37</f>
        <v xml:space="preserve">Wizja w terenie 
Projekt </v>
      </c>
      <c r="C117" s="2" t="s">
        <v>203</v>
      </c>
      <c r="D117" s="85" t="s">
        <v>25</v>
      </c>
      <c r="E117" s="77">
        <f>900*5.1</f>
        <v>4590</v>
      </c>
      <c r="F117" s="113"/>
      <c r="G117" s="81">
        <f>ROUND(F117*E117,2)</f>
        <v>0</v>
      </c>
    </row>
    <row r="118" spans="1:7" s="14" customFormat="1" ht="18" customHeight="1" x14ac:dyDescent="0.2">
      <c r="A118" s="110"/>
      <c r="B118" s="111"/>
      <c r="C118" s="1" t="s">
        <v>204</v>
      </c>
      <c r="D118" s="112"/>
      <c r="E118" s="105"/>
      <c r="F118" s="114"/>
      <c r="G118" s="82"/>
    </row>
    <row r="119" spans="1:7" s="14" customFormat="1" ht="21" customHeight="1" x14ac:dyDescent="0.2">
      <c r="A119" s="110"/>
      <c r="B119" s="111"/>
      <c r="C119" s="1" t="s">
        <v>205</v>
      </c>
      <c r="D119" s="112"/>
      <c r="E119" s="105"/>
      <c r="F119" s="3"/>
      <c r="G119" s="43">
        <f>ROUND(F119*E117,2)</f>
        <v>0</v>
      </c>
    </row>
    <row r="120" spans="1:7" s="14" customFormat="1" ht="53.25" customHeight="1" x14ac:dyDescent="0.2">
      <c r="A120" s="83">
        <v>52</v>
      </c>
      <c r="B120" s="75" t="str">
        <f>B117</f>
        <v xml:space="preserve">Wizja w terenie 
Projekt </v>
      </c>
      <c r="C120" s="2" t="s">
        <v>206</v>
      </c>
      <c r="D120" s="85" t="s">
        <v>25</v>
      </c>
      <c r="E120" s="77">
        <f>4830*5.05+5*0.5*3+10*3+0.5*15*3</f>
        <v>24451.5</v>
      </c>
      <c r="F120" s="113"/>
      <c r="G120" s="81">
        <f>ROUND(F120*E120,2)</f>
        <v>0</v>
      </c>
    </row>
    <row r="121" spans="1:7" s="14" customFormat="1" ht="22.5" customHeight="1" x14ac:dyDescent="0.2">
      <c r="A121" s="110"/>
      <c r="B121" s="111"/>
      <c r="C121" s="1" t="s">
        <v>207</v>
      </c>
      <c r="D121" s="112"/>
      <c r="E121" s="105"/>
      <c r="F121" s="114"/>
      <c r="G121" s="82"/>
    </row>
    <row r="122" spans="1:7" s="14" customFormat="1" ht="22.5" customHeight="1" x14ac:dyDescent="0.2">
      <c r="A122" s="110"/>
      <c r="B122" s="111"/>
      <c r="C122" s="1" t="s">
        <v>208</v>
      </c>
      <c r="D122" s="112"/>
      <c r="E122" s="105"/>
      <c r="F122" s="3"/>
      <c r="G122" s="43">
        <f>ROUND(F122*E120,2)</f>
        <v>0</v>
      </c>
    </row>
    <row r="123" spans="1:7" s="14" customFormat="1" ht="24.6" customHeight="1" x14ac:dyDescent="0.2">
      <c r="A123" s="70">
        <v>53</v>
      </c>
      <c r="B123" s="71" t="str">
        <f>B120</f>
        <v xml:space="preserve">Wizja w terenie 
Projekt </v>
      </c>
      <c r="C123" s="2" t="s">
        <v>113</v>
      </c>
      <c r="D123" s="72" t="s">
        <v>25</v>
      </c>
      <c r="E123" s="73">
        <f>(4830-900)*2</f>
        <v>7860</v>
      </c>
      <c r="F123" s="74"/>
      <c r="G123" s="103">
        <f>ROUND(E123*F123,2)</f>
        <v>0</v>
      </c>
    </row>
    <row r="124" spans="1:7" s="14" customFormat="1" ht="27.6" customHeight="1" x14ac:dyDescent="0.2">
      <c r="A124" s="70"/>
      <c r="B124" s="71"/>
      <c r="C124" s="1" t="s">
        <v>209</v>
      </c>
      <c r="D124" s="104"/>
      <c r="E124" s="73"/>
      <c r="F124" s="74"/>
      <c r="G124" s="103"/>
    </row>
    <row r="125" spans="1:7" s="14" customFormat="1" ht="27" customHeight="1" x14ac:dyDescent="0.2">
      <c r="A125" s="67" t="s">
        <v>50</v>
      </c>
      <c r="B125" s="68"/>
      <c r="C125" s="68"/>
      <c r="D125" s="68"/>
      <c r="E125" s="68"/>
      <c r="F125" s="68"/>
      <c r="G125" s="101"/>
    </row>
    <row r="126" spans="1:7" s="14" customFormat="1" ht="39.75" customHeight="1" x14ac:dyDescent="0.2">
      <c r="A126" s="83">
        <v>54</v>
      </c>
      <c r="B126" s="75" t="str">
        <f>B123</f>
        <v xml:space="preserve">Wizja w terenie 
Projekt </v>
      </c>
      <c r="C126" s="2" t="s">
        <v>210</v>
      </c>
      <c r="D126" s="85" t="s">
        <v>25</v>
      </c>
      <c r="E126" s="77">
        <f>4830*5+5*0.5*3+10*3+0.5*3*15</f>
        <v>24210</v>
      </c>
      <c r="F126" s="113"/>
      <c r="G126" s="81">
        <f>ROUND(F126*E126,2)</f>
        <v>0</v>
      </c>
    </row>
    <row r="127" spans="1:7" s="14" customFormat="1" ht="21.75" customHeight="1" x14ac:dyDescent="0.2">
      <c r="A127" s="110"/>
      <c r="B127" s="111"/>
      <c r="C127" s="1" t="s">
        <v>211</v>
      </c>
      <c r="D127" s="112"/>
      <c r="E127" s="105"/>
      <c r="F127" s="114"/>
      <c r="G127" s="82"/>
    </row>
    <row r="128" spans="1:7" s="14" customFormat="1" ht="24.75" customHeight="1" x14ac:dyDescent="0.2">
      <c r="A128" s="110"/>
      <c r="B128" s="111"/>
      <c r="C128" s="1" t="s">
        <v>212</v>
      </c>
      <c r="D128" s="112"/>
      <c r="E128" s="105"/>
      <c r="F128" s="3"/>
      <c r="G128" s="43">
        <f>ROUND(F128*E126,2)</f>
        <v>0</v>
      </c>
    </row>
    <row r="129" spans="1:9" s="14" customFormat="1" ht="53.45" customHeight="1" x14ac:dyDescent="0.2">
      <c r="A129" s="83">
        <v>55</v>
      </c>
      <c r="B129" s="75" t="str">
        <f>B126</f>
        <v xml:space="preserve">Wizja w terenie 
Projekt </v>
      </c>
      <c r="C129" s="2" t="s">
        <v>213</v>
      </c>
      <c r="D129" s="85" t="s">
        <v>25</v>
      </c>
      <c r="E129" s="77">
        <f>1239.65</f>
        <v>1239.6500000000001</v>
      </c>
      <c r="F129" s="113"/>
      <c r="G129" s="81">
        <f>ROUND(F129*E129,2)</f>
        <v>0</v>
      </c>
    </row>
    <row r="130" spans="1:9" s="14" customFormat="1" ht="31.15" customHeight="1" x14ac:dyDescent="0.2">
      <c r="A130" s="110"/>
      <c r="B130" s="111"/>
      <c r="C130" s="1" t="s">
        <v>214</v>
      </c>
      <c r="D130" s="112"/>
      <c r="E130" s="105"/>
      <c r="F130" s="114"/>
      <c r="G130" s="82"/>
    </row>
    <row r="131" spans="1:9" s="14" customFormat="1" ht="24.75" customHeight="1" thickBot="1" x14ac:dyDescent="0.25">
      <c r="A131" s="110"/>
      <c r="B131" s="111"/>
      <c r="C131" s="1" t="s">
        <v>215</v>
      </c>
      <c r="D131" s="112"/>
      <c r="E131" s="105"/>
      <c r="F131" s="3"/>
      <c r="G131" s="43">
        <f>ROUND(F131*E129,2)</f>
        <v>0</v>
      </c>
    </row>
    <row r="132" spans="1:9" s="14" customFormat="1" ht="22.9" customHeight="1" thickBot="1" x14ac:dyDescent="0.25">
      <c r="A132" s="107" t="s">
        <v>19</v>
      </c>
      <c r="B132" s="108"/>
      <c r="C132" s="108"/>
      <c r="D132" s="108"/>
      <c r="E132" s="108"/>
      <c r="F132" s="109"/>
      <c r="G132" s="15">
        <f>SUM(G131,G129,G128,G126,G123,G122,G120,G119,G117,G114,G112)</f>
        <v>0</v>
      </c>
    </row>
    <row r="133" spans="1:9" s="14" customFormat="1" ht="27.6" customHeight="1" x14ac:dyDescent="0.2">
      <c r="A133" s="67" t="s">
        <v>51</v>
      </c>
      <c r="B133" s="68"/>
      <c r="C133" s="68"/>
      <c r="D133" s="68"/>
      <c r="E133" s="68"/>
      <c r="F133" s="68"/>
      <c r="G133" s="101"/>
    </row>
    <row r="134" spans="1:9" s="14" customFormat="1" ht="39.6" customHeight="1" x14ac:dyDescent="0.2">
      <c r="A134" s="70">
        <v>56</v>
      </c>
      <c r="B134" s="71" t="str">
        <f>B129</f>
        <v xml:space="preserve">Wizja w terenie 
Projekt </v>
      </c>
      <c r="C134" s="2" t="s">
        <v>96</v>
      </c>
      <c r="D134" s="115" t="s">
        <v>10</v>
      </c>
      <c r="E134" s="73">
        <f>15+5+10+15+15+(10+0.5*3.14*6)</f>
        <v>79.42</v>
      </c>
      <c r="F134" s="74"/>
      <c r="G134" s="103">
        <f>ROUND(E134*F134,2)</f>
        <v>0</v>
      </c>
    </row>
    <row r="135" spans="1:9" s="14" customFormat="1" ht="26.45" customHeight="1" x14ac:dyDescent="0.2">
      <c r="A135" s="70"/>
      <c r="B135" s="71"/>
      <c r="C135" s="1" t="s">
        <v>95</v>
      </c>
      <c r="D135" s="115"/>
      <c r="E135" s="73"/>
      <c r="F135" s="74"/>
      <c r="G135" s="103"/>
    </row>
    <row r="136" spans="1:9" s="14" customFormat="1" ht="43.9" customHeight="1" x14ac:dyDescent="0.2">
      <c r="A136" s="70">
        <v>57</v>
      </c>
      <c r="B136" s="71" t="str">
        <f>B134</f>
        <v xml:space="preserve">Wizja w terenie 
Projekt </v>
      </c>
      <c r="C136" s="2" t="s">
        <v>99</v>
      </c>
      <c r="D136" s="115" t="s">
        <v>10</v>
      </c>
      <c r="E136" s="73">
        <v>102</v>
      </c>
      <c r="F136" s="74"/>
      <c r="G136" s="103">
        <f t="shared" ref="G136" si="20">ROUND(E136*F136,2)</f>
        <v>0</v>
      </c>
    </row>
    <row r="137" spans="1:9" s="14" customFormat="1" ht="25.5" customHeight="1" x14ac:dyDescent="0.2">
      <c r="A137" s="70"/>
      <c r="B137" s="71"/>
      <c r="C137" s="1" t="s">
        <v>100</v>
      </c>
      <c r="D137" s="115"/>
      <c r="E137" s="73"/>
      <c r="F137" s="74"/>
      <c r="G137" s="103"/>
    </row>
    <row r="138" spans="1:9" s="14" customFormat="1" ht="27.75" customHeight="1" x14ac:dyDescent="0.2">
      <c r="A138" s="70">
        <v>58</v>
      </c>
      <c r="B138" s="71" t="str">
        <f>B136</f>
        <v xml:space="preserve">Wizja w terenie 
Projekt </v>
      </c>
      <c r="C138" s="2" t="s">
        <v>98</v>
      </c>
      <c r="D138" s="115" t="s">
        <v>10</v>
      </c>
      <c r="E138" s="73">
        <f>79.42+6*1.75</f>
        <v>89.92</v>
      </c>
      <c r="F138" s="74"/>
      <c r="G138" s="103">
        <f t="shared" ref="G138" si="21">ROUND(E138*F138,2)</f>
        <v>0</v>
      </c>
    </row>
    <row r="139" spans="1:9" s="14" customFormat="1" ht="25.5" customHeight="1" x14ac:dyDescent="0.2">
      <c r="A139" s="70"/>
      <c r="B139" s="71"/>
      <c r="C139" s="1" t="s">
        <v>97</v>
      </c>
      <c r="D139" s="115"/>
      <c r="E139" s="73"/>
      <c r="F139" s="74"/>
      <c r="G139" s="103"/>
    </row>
    <row r="140" spans="1:9" s="14" customFormat="1" ht="70.900000000000006" customHeight="1" x14ac:dyDescent="0.2">
      <c r="A140" s="70">
        <v>59</v>
      </c>
      <c r="B140" s="71" t="str">
        <f>B136</f>
        <v xml:space="preserve">Wizja w terenie 
Projekt </v>
      </c>
      <c r="C140" s="2" t="s">
        <v>216</v>
      </c>
      <c r="D140" s="115" t="s">
        <v>25</v>
      </c>
      <c r="E140" s="73">
        <f>2*0.75*4830-0.75*(  102+19*4.5+79.42+27*5.5)</f>
        <v>6933.4350000000004</v>
      </c>
      <c r="F140" s="74"/>
      <c r="G140" s="103">
        <f t="shared" ref="G140" si="22">ROUND(E140*F140,2)</f>
        <v>0</v>
      </c>
    </row>
    <row r="141" spans="1:9" s="14" customFormat="1" ht="163.15" customHeight="1" thickBot="1" x14ac:dyDescent="0.25">
      <c r="A141" s="70"/>
      <c r="B141" s="71"/>
      <c r="C141" s="1" t="s">
        <v>217</v>
      </c>
      <c r="D141" s="115"/>
      <c r="E141" s="73"/>
      <c r="F141" s="74"/>
      <c r="G141" s="103"/>
      <c r="H141" s="18"/>
    </row>
    <row r="142" spans="1:9" s="14" customFormat="1" ht="30" customHeight="1" thickBot="1" x14ac:dyDescent="0.25">
      <c r="A142" s="107" t="s">
        <v>1</v>
      </c>
      <c r="B142" s="108"/>
      <c r="C142" s="108"/>
      <c r="D142" s="108"/>
      <c r="E142" s="108"/>
      <c r="F142" s="109"/>
      <c r="G142" s="15">
        <f>SUM(G134:G141)</f>
        <v>0</v>
      </c>
    </row>
    <row r="143" spans="1:9" ht="28.15" customHeight="1" x14ac:dyDescent="0.2">
      <c r="A143" s="116" t="s">
        <v>52</v>
      </c>
      <c r="B143" s="117"/>
      <c r="C143" s="117"/>
      <c r="D143" s="117"/>
      <c r="E143" s="117"/>
      <c r="F143" s="117"/>
      <c r="G143" s="118"/>
      <c r="H143" s="13"/>
      <c r="I143" s="13"/>
    </row>
    <row r="144" spans="1:9" ht="24.75" customHeight="1" x14ac:dyDescent="0.2">
      <c r="A144" s="119">
        <v>61</v>
      </c>
      <c r="B144" s="120" t="str">
        <f>B140</f>
        <v xml:space="preserve">Wizja w terenie 
Projekt </v>
      </c>
      <c r="C144" s="44" t="s">
        <v>101</v>
      </c>
      <c r="D144" s="121" t="s">
        <v>218</v>
      </c>
      <c r="E144" s="123">
        <f>193.2+1159+3.24</f>
        <v>1355.44</v>
      </c>
      <c r="F144" s="125"/>
      <c r="G144" s="103">
        <f>ROUND(E144*F144,2)</f>
        <v>0</v>
      </c>
      <c r="H144" s="13"/>
      <c r="I144" s="13"/>
    </row>
    <row r="145" spans="1:10" ht="60.6" customHeight="1" x14ac:dyDescent="0.2">
      <c r="A145" s="119"/>
      <c r="B145" s="120"/>
      <c r="C145" s="45" t="s">
        <v>219</v>
      </c>
      <c r="D145" s="122"/>
      <c r="E145" s="124"/>
      <c r="F145" s="126"/>
      <c r="G145" s="103"/>
      <c r="H145" s="13"/>
      <c r="I145" s="13"/>
    </row>
    <row r="146" spans="1:10" ht="32.450000000000003" customHeight="1" x14ac:dyDescent="0.2">
      <c r="A146" s="119">
        <v>62</v>
      </c>
      <c r="B146" s="120" t="str">
        <f>B144</f>
        <v xml:space="preserve">Wizja w terenie 
Projekt </v>
      </c>
      <c r="C146" s="44" t="s">
        <v>18</v>
      </c>
      <c r="D146" s="127" t="s">
        <v>11</v>
      </c>
      <c r="E146" s="123">
        <f>48*2</f>
        <v>96</v>
      </c>
      <c r="F146" s="125"/>
      <c r="G146" s="103">
        <f t="shared" ref="G146" si="23">ROUND(E146*F146,2)</f>
        <v>0</v>
      </c>
      <c r="H146" s="13"/>
      <c r="I146" s="13"/>
    </row>
    <row r="147" spans="1:10" ht="27.6" customHeight="1" x14ac:dyDescent="0.2">
      <c r="A147" s="119"/>
      <c r="B147" s="120"/>
      <c r="C147" s="45" t="s">
        <v>102</v>
      </c>
      <c r="D147" s="128"/>
      <c r="E147" s="124"/>
      <c r="F147" s="126"/>
      <c r="G147" s="103"/>
      <c r="H147" s="13"/>
      <c r="I147" s="13"/>
    </row>
    <row r="148" spans="1:10" ht="33" customHeight="1" x14ac:dyDescent="0.2">
      <c r="A148" s="119">
        <v>63</v>
      </c>
      <c r="B148" s="120" t="str">
        <f>B146</f>
        <v xml:space="preserve">Wizja w terenie 
Projekt </v>
      </c>
      <c r="C148" s="44" t="s">
        <v>105</v>
      </c>
      <c r="D148" s="127" t="s">
        <v>11</v>
      </c>
      <c r="E148" s="123">
        <v>24</v>
      </c>
      <c r="F148" s="125"/>
      <c r="G148" s="103">
        <f t="shared" ref="G148" si="24">ROUND(E148*F148,2)</f>
        <v>0</v>
      </c>
      <c r="H148" s="13"/>
      <c r="I148" s="13"/>
    </row>
    <row r="149" spans="1:10" ht="18" customHeight="1" x14ac:dyDescent="0.2">
      <c r="A149" s="119"/>
      <c r="B149" s="120"/>
      <c r="C149" s="45" t="s">
        <v>103</v>
      </c>
      <c r="D149" s="128"/>
      <c r="E149" s="124"/>
      <c r="F149" s="126"/>
      <c r="G149" s="103"/>
      <c r="H149" s="13"/>
      <c r="I149" s="13"/>
    </row>
    <row r="150" spans="1:10" ht="42" customHeight="1" x14ac:dyDescent="0.2">
      <c r="A150" s="119">
        <v>64</v>
      </c>
      <c r="B150" s="120" t="str">
        <f>B136</f>
        <v xml:space="preserve">Wizja w terenie 
Projekt </v>
      </c>
      <c r="C150" s="7" t="s">
        <v>104</v>
      </c>
      <c r="D150" s="138" t="s">
        <v>30</v>
      </c>
      <c r="E150" s="140">
        <v>1</v>
      </c>
      <c r="F150" s="141"/>
      <c r="G150" s="103">
        <f t="shared" ref="G150" si="25">ROUND(E150*F150,2)</f>
        <v>0</v>
      </c>
      <c r="H150" s="13"/>
      <c r="I150" s="13"/>
    </row>
    <row r="151" spans="1:10" ht="25.15" customHeight="1" thickBot="1" x14ac:dyDescent="0.25">
      <c r="A151" s="119"/>
      <c r="B151" s="120"/>
      <c r="C151" s="8" t="s">
        <v>16</v>
      </c>
      <c r="D151" s="139"/>
      <c r="E151" s="140"/>
      <c r="F151" s="142"/>
      <c r="G151" s="103"/>
      <c r="H151" s="13"/>
      <c r="I151" s="13"/>
    </row>
    <row r="152" spans="1:10" ht="34.9" customHeight="1" thickBot="1" x14ac:dyDescent="0.25">
      <c r="A152" s="129" t="s">
        <v>0</v>
      </c>
      <c r="B152" s="130"/>
      <c r="C152" s="130"/>
      <c r="D152" s="130"/>
      <c r="E152" s="130"/>
      <c r="F152" s="131"/>
      <c r="G152" s="20">
        <f>SUM(G144,G146,G150,G148)</f>
        <v>0</v>
      </c>
      <c r="H152" s="13"/>
      <c r="I152" s="13"/>
    </row>
    <row r="153" spans="1:10" s="14" customFormat="1" ht="30.75" customHeight="1" thickBot="1" x14ac:dyDescent="0.25">
      <c r="A153" s="132" t="s">
        <v>136</v>
      </c>
      <c r="B153" s="133"/>
      <c r="C153" s="133"/>
      <c r="D153" s="133"/>
      <c r="E153" s="133"/>
      <c r="F153" s="134"/>
      <c r="G153" s="47">
        <f>SUM(G152,G142,G132,G110,G87,G67)</f>
        <v>0</v>
      </c>
    </row>
    <row r="154" spans="1:10" s="14" customFormat="1" ht="30.75" customHeight="1" thickBot="1" x14ac:dyDescent="0.25">
      <c r="A154" s="135" t="s">
        <v>135</v>
      </c>
      <c r="B154" s="136"/>
      <c r="C154" s="136"/>
      <c r="D154" s="136"/>
      <c r="E154" s="136"/>
      <c r="F154" s="137"/>
      <c r="G154" s="21">
        <f>G153*0.23</f>
        <v>0</v>
      </c>
    </row>
    <row r="155" spans="1:10" s="14" customFormat="1" ht="43.15" customHeight="1" thickBot="1" x14ac:dyDescent="0.25">
      <c r="A155" s="132" t="s">
        <v>134</v>
      </c>
      <c r="B155" s="133"/>
      <c r="C155" s="133"/>
      <c r="D155" s="133"/>
      <c r="E155" s="133"/>
      <c r="F155" s="134"/>
      <c r="G155" s="40">
        <f>G153*1.23</f>
        <v>0</v>
      </c>
    </row>
    <row r="156" spans="1:10" s="14" customFormat="1" ht="39" customHeight="1" thickBot="1" x14ac:dyDescent="0.25">
      <c r="A156" s="48"/>
      <c r="B156" s="49"/>
      <c r="C156" s="49"/>
      <c r="D156" s="49"/>
      <c r="E156" s="49"/>
      <c r="F156" s="49"/>
      <c r="G156" s="46"/>
    </row>
    <row r="157" spans="1:10" ht="37.9" customHeight="1" thickBot="1" x14ac:dyDescent="0.25">
      <c r="A157" s="58" t="s">
        <v>275</v>
      </c>
      <c r="B157" s="59"/>
      <c r="C157" s="59"/>
      <c r="D157" s="59"/>
      <c r="E157" s="59"/>
      <c r="F157" s="59"/>
      <c r="G157" s="60"/>
      <c r="H157" s="38"/>
      <c r="I157" s="38"/>
      <c r="J157" s="39"/>
    </row>
    <row r="158" spans="1:10" s="14" customFormat="1" ht="78.75" customHeight="1" x14ac:dyDescent="0.2">
      <c r="A158" s="61" t="s">
        <v>279</v>
      </c>
      <c r="B158" s="62"/>
      <c r="C158" s="62"/>
      <c r="D158" s="62"/>
      <c r="E158" s="62"/>
      <c r="F158" s="62"/>
      <c r="G158" s="63"/>
    </row>
    <row r="159" spans="1:10" s="14" customFormat="1" ht="86.25" customHeight="1" thickBot="1" x14ac:dyDescent="0.25">
      <c r="A159" s="64" t="s">
        <v>277</v>
      </c>
      <c r="B159" s="65"/>
      <c r="C159" s="65"/>
      <c r="D159" s="65"/>
      <c r="E159" s="65"/>
      <c r="F159" s="65"/>
      <c r="G159" s="66"/>
    </row>
    <row r="160" spans="1:10" s="14" customFormat="1" ht="65.45" customHeight="1" x14ac:dyDescent="0.2">
      <c r="A160" s="23" t="s">
        <v>2</v>
      </c>
      <c r="B160" s="24" t="s">
        <v>3</v>
      </c>
      <c r="C160" s="25" t="s">
        <v>4</v>
      </c>
      <c r="D160" s="25" t="s">
        <v>5</v>
      </c>
      <c r="E160" s="26" t="s">
        <v>6</v>
      </c>
      <c r="F160" s="27" t="s">
        <v>7</v>
      </c>
      <c r="G160" s="28" t="s">
        <v>8</v>
      </c>
    </row>
    <row r="161" spans="1:7" s="14" customFormat="1" ht="27" customHeight="1" x14ac:dyDescent="0.2">
      <c r="A161" s="67" t="s">
        <v>43</v>
      </c>
      <c r="B161" s="68"/>
      <c r="C161" s="68"/>
      <c r="D161" s="68"/>
      <c r="E161" s="68"/>
      <c r="F161" s="68"/>
      <c r="G161" s="69"/>
    </row>
    <row r="162" spans="1:7" s="14" customFormat="1" ht="40.5" customHeight="1" x14ac:dyDescent="0.2">
      <c r="A162" s="32">
        <v>1</v>
      </c>
      <c r="B162" s="33" t="s">
        <v>20</v>
      </c>
      <c r="C162" s="2" t="s">
        <v>115</v>
      </c>
      <c r="D162" s="35" t="s">
        <v>14</v>
      </c>
      <c r="E162" s="34">
        <f>0.212+0.293</f>
        <v>0.505</v>
      </c>
      <c r="F162" s="3"/>
      <c r="G162" s="29">
        <f>ROUND(E162*F162,2)</f>
        <v>0</v>
      </c>
    </row>
    <row r="163" spans="1:7" s="14" customFormat="1" ht="34.9" customHeight="1" x14ac:dyDescent="0.2">
      <c r="A163" s="32">
        <v>2</v>
      </c>
      <c r="B163" s="33" t="s">
        <v>20</v>
      </c>
      <c r="C163" s="2" t="s">
        <v>34</v>
      </c>
      <c r="D163" s="35" t="s">
        <v>30</v>
      </c>
      <c r="E163" s="34">
        <v>1</v>
      </c>
      <c r="F163" s="3"/>
      <c r="G163" s="29">
        <f>ROUND(E163*F163,2)</f>
        <v>0</v>
      </c>
    </row>
    <row r="164" spans="1:7" s="14" customFormat="1" ht="28.9" customHeight="1" x14ac:dyDescent="0.2">
      <c r="A164" s="67" t="s">
        <v>116</v>
      </c>
      <c r="B164" s="68"/>
      <c r="C164" s="68"/>
      <c r="D164" s="68"/>
      <c r="E164" s="68"/>
      <c r="F164" s="68"/>
      <c r="G164" s="69"/>
    </row>
    <row r="165" spans="1:7" s="14" customFormat="1" ht="84.6" customHeight="1" x14ac:dyDescent="0.2">
      <c r="A165" s="70">
        <v>3</v>
      </c>
      <c r="B165" s="71" t="str">
        <f>B163</f>
        <v xml:space="preserve">Wizja w terenie 
Projekt </v>
      </c>
      <c r="C165" s="2" t="s">
        <v>242</v>
      </c>
      <c r="D165" s="72" t="s">
        <v>10</v>
      </c>
      <c r="E165" s="73">
        <v>175</v>
      </c>
      <c r="F165" s="74"/>
      <c r="G165" s="81">
        <f>ROUND(E165*F165,2)</f>
        <v>0</v>
      </c>
    </row>
    <row r="166" spans="1:7" s="14" customFormat="1" ht="41.45" customHeight="1" x14ac:dyDescent="0.2">
      <c r="A166" s="70"/>
      <c r="B166" s="71"/>
      <c r="C166" s="1" t="s">
        <v>243</v>
      </c>
      <c r="D166" s="72"/>
      <c r="E166" s="73"/>
      <c r="F166" s="74"/>
      <c r="G166" s="82"/>
    </row>
    <row r="167" spans="1:7" s="14" customFormat="1" ht="36" customHeight="1" x14ac:dyDescent="0.2">
      <c r="A167" s="83">
        <v>4</v>
      </c>
      <c r="B167" s="75" t="str">
        <f>B165</f>
        <v xml:space="preserve">Wizja w terenie 
Projekt </v>
      </c>
      <c r="C167" s="1" t="s">
        <v>117</v>
      </c>
      <c r="D167" s="85" t="s">
        <v>25</v>
      </c>
      <c r="E167" s="77">
        <f>5*1.5+293*1.75</f>
        <v>520.25</v>
      </c>
      <c r="F167" s="79"/>
      <c r="G167" s="81">
        <f>ROUND(E167*F167,2)</f>
        <v>0</v>
      </c>
    </row>
    <row r="168" spans="1:7" s="14" customFormat="1" ht="89.45" customHeight="1" x14ac:dyDescent="0.2">
      <c r="A168" s="84"/>
      <c r="B168" s="76"/>
      <c r="C168" s="31" t="s">
        <v>252</v>
      </c>
      <c r="D168" s="86"/>
      <c r="E168" s="78"/>
      <c r="F168" s="80"/>
      <c r="G168" s="82"/>
    </row>
    <row r="169" spans="1:7" s="14" customFormat="1" ht="69" customHeight="1" x14ac:dyDescent="0.2">
      <c r="A169" s="70">
        <v>5</v>
      </c>
      <c r="B169" s="75" t="str">
        <f>B167</f>
        <v xml:space="preserve">Wizja w terenie 
Projekt </v>
      </c>
      <c r="C169" s="1" t="s">
        <v>53</v>
      </c>
      <c r="D169" s="85" t="s">
        <v>25</v>
      </c>
      <c r="E169" s="77">
        <f xml:space="preserve"> 1.5*5+1.5*3.5+2*1.75+3*2</f>
        <v>22.25</v>
      </c>
      <c r="F169" s="79"/>
      <c r="G169" s="81">
        <f>ROUND(E169*F169,2)</f>
        <v>0</v>
      </c>
    </row>
    <row r="170" spans="1:7" s="14" customFormat="1" ht="43.9" customHeight="1" x14ac:dyDescent="0.2">
      <c r="A170" s="70"/>
      <c r="B170" s="76"/>
      <c r="C170" s="1" t="s">
        <v>118</v>
      </c>
      <c r="D170" s="86"/>
      <c r="E170" s="78"/>
      <c r="F170" s="80"/>
      <c r="G170" s="82"/>
    </row>
    <row r="171" spans="1:7" s="14" customFormat="1" ht="42" customHeight="1" x14ac:dyDescent="0.2">
      <c r="A171" s="83">
        <v>6</v>
      </c>
      <c r="B171" s="75" t="str">
        <f>B169</f>
        <v xml:space="preserve">Wizja w terenie 
Projekt </v>
      </c>
      <c r="C171" s="2" t="s">
        <v>119</v>
      </c>
      <c r="D171" s="72" t="s">
        <v>11</v>
      </c>
      <c r="E171" s="73">
        <v>2</v>
      </c>
      <c r="F171" s="74"/>
      <c r="G171" s="81">
        <f>E171*F171</f>
        <v>0</v>
      </c>
    </row>
    <row r="172" spans="1:7" s="14" customFormat="1" ht="21" customHeight="1" x14ac:dyDescent="0.2">
      <c r="A172" s="84"/>
      <c r="B172" s="76"/>
      <c r="C172" s="1" t="s">
        <v>68</v>
      </c>
      <c r="D172" s="72"/>
      <c r="E172" s="73"/>
      <c r="F172" s="74"/>
      <c r="G172" s="82"/>
    </row>
    <row r="173" spans="1:7" s="14" customFormat="1" ht="50.45" customHeight="1" x14ac:dyDescent="0.2">
      <c r="A173" s="70">
        <v>7</v>
      </c>
      <c r="B173" s="75" t="str">
        <f>B171</f>
        <v xml:space="preserve">Wizja w terenie 
Projekt </v>
      </c>
      <c r="C173" s="2" t="s">
        <v>120</v>
      </c>
      <c r="D173" s="72" t="s">
        <v>25</v>
      </c>
      <c r="E173" s="73">
        <f>4.25*2+4.5*2+(4.5*1.5) * 2+4.5*2*4</f>
        <v>67</v>
      </c>
      <c r="F173" s="74"/>
      <c r="G173" s="81">
        <f>ROUND(E173*F173,2)</f>
        <v>0</v>
      </c>
    </row>
    <row r="174" spans="1:7" s="14" customFormat="1" ht="48.6" customHeight="1" x14ac:dyDescent="0.2">
      <c r="A174" s="70"/>
      <c r="B174" s="76"/>
      <c r="C174" s="1" t="s">
        <v>121</v>
      </c>
      <c r="D174" s="72"/>
      <c r="E174" s="73"/>
      <c r="F174" s="74"/>
      <c r="G174" s="82"/>
    </row>
    <row r="175" spans="1:7" s="14" customFormat="1" ht="33.75" customHeight="1" x14ac:dyDescent="0.2">
      <c r="A175" s="83">
        <v>8</v>
      </c>
      <c r="B175" s="75" t="str">
        <f>B171</f>
        <v xml:space="preserve">Wizja w terenie 
Projekt </v>
      </c>
      <c r="C175" s="1" t="s">
        <v>90</v>
      </c>
      <c r="D175" s="72" t="s">
        <v>25</v>
      </c>
      <c r="E175" s="77">
        <f>376.8+11.25</f>
        <v>388.05</v>
      </c>
      <c r="F175" s="74"/>
      <c r="G175" s="81">
        <f>ROUND(E175*F175,2)</f>
        <v>0</v>
      </c>
    </row>
    <row r="176" spans="1:7" s="14" customFormat="1" ht="93" customHeight="1" x14ac:dyDescent="0.2">
      <c r="A176" s="84"/>
      <c r="B176" s="76"/>
      <c r="C176" s="1" t="s">
        <v>251</v>
      </c>
      <c r="D176" s="72"/>
      <c r="E176" s="78"/>
      <c r="F176" s="74"/>
      <c r="G176" s="82"/>
    </row>
    <row r="177" spans="1:7" s="14" customFormat="1" ht="69" customHeight="1" x14ac:dyDescent="0.2">
      <c r="A177" s="70">
        <v>9</v>
      </c>
      <c r="B177" s="75" t="str">
        <f>B175</f>
        <v xml:space="preserve">Wizja w terenie 
Projekt </v>
      </c>
      <c r="C177" s="2" t="s">
        <v>155</v>
      </c>
      <c r="D177" s="72" t="s">
        <v>10</v>
      </c>
      <c r="E177" s="73">
        <f>293.5+1.5+1</f>
        <v>296</v>
      </c>
      <c r="F177" s="74"/>
      <c r="G177" s="81">
        <f t="shared" ref="G177" si="26">ROUND(E177*F177,2)</f>
        <v>0</v>
      </c>
    </row>
    <row r="178" spans="1:7" s="14" customFormat="1" ht="23.45" customHeight="1" thickBot="1" x14ac:dyDescent="0.25">
      <c r="A178" s="70"/>
      <c r="B178" s="76"/>
      <c r="C178" s="1" t="s">
        <v>131</v>
      </c>
      <c r="D178" s="72"/>
      <c r="E178" s="73"/>
      <c r="F178" s="74"/>
      <c r="G178" s="82"/>
    </row>
    <row r="179" spans="1:7" s="14" customFormat="1" ht="28.9" customHeight="1" thickBot="1" x14ac:dyDescent="0.25">
      <c r="A179" s="98" t="s">
        <v>32</v>
      </c>
      <c r="B179" s="99"/>
      <c r="C179" s="99"/>
      <c r="D179" s="99"/>
      <c r="E179" s="99"/>
      <c r="F179" s="100"/>
      <c r="G179" s="30">
        <f>SUM(G162,G163,G165,G167,G169,G173,G171,G175,G177)</f>
        <v>0</v>
      </c>
    </row>
    <row r="180" spans="1:7" s="14" customFormat="1" ht="27" customHeight="1" x14ac:dyDescent="0.2">
      <c r="A180" s="67" t="s">
        <v>45</v>
      </c>
      <c r="B180" s="68"/>
      <c r="C180" s="68"/>
      <c r="D180" s="68"/>
      <c r="E180" s="68"/>
      <c r="F180" s="68"/>
      <c r="G180" s="101"/>
    </row>
    <row r="181" spans="1:7" s="14" customFormat="1" ht="58.9" customHeight="1" x14ac:dyDescent="0.2">
      <c r="A181" s="83">
        <v>10</v>
      </c>
      <c r="B181" s="75" t="str">
        <f>B177</f>
        <v xml:space="preserve">Wizja w terenie 
Projekt </v>
      </c>
      <c r="C181" s="1" t="s">
        <v>253</v>
      </c>
      <c r="D181" s="85" t="s">
        <v>25</v>
      </c>
      <c r="E181" s="77">
        <f>2 * ( 200 - 6.5-4.5)</f>
        <v>378</v>
      </c>
      <c r="F181" s="79"/>
      <c r="G181" s="96">
        <f>ROUND(E181*F181,2)</f>
        <v>0</v>
      </c>
    </row>
    <row r="182" spans="1:7" s="14" customFormat="1" ht="36" customHeight="1" x14ac:dyDescent="0.2">
      <c r="A182" s="84"/>
      <c r="B182" s="76"/>
      <c r="C182" s="1" t="s">
        <v>124</v>
      </c>
      <c r="D182" s="86"/>
      <c r="E182" s="78"/>
      <c r="F182" s="80"/>
      <c r="G182" s="97"/>
    </row>
    <row r="183" spans="1:7" s="14" customFormat="1" ht="46.9" customHeight="1" x14ac:dyDescent="0.2">
      <c r="A183" s="83">
        <v>11</v>
      </c>
      <c r="B183" s="75" t="str">
        <f>B181</f>
        <v xml:space="preserve">Wizja w terenie 
Projekt </v>
      </c>
      <c r="C183" s="1" t="s">
        <v>123</v>
      </c>
      <c r="D183" s="85" t="s">
        <v>25</v>
      </c>
      <c r="E183" s="77">
        <f>20.5*1.5+47.9*1.5+46.2*2+34.5*2+61.2*2+20.1*2+(1.5+1)*0.5*8.9+1.5*0.5*(4.5+3)*2+2*0.5*(4.5+7.5)*4</f>
        <v>496.97499999999997</v>
      </c>
      <c r="F183" s="79"/>
      <c r="G183" s="96">
        <f t="shared" ref="G183" si="27">ROUND(E183*F183,2)</f>
        <v>0</v>
      </c>
    </row>
    <row r="184" spans="1:7" s="14" customFormat="1" ht="73.150000000000006" customHeight="1" x14ac:dyDescent="0.2">
      <c r="A184" s="84"/>
      <c r="B184" s="76"/>
      <c r="C184" s="1" t="s">
        <v>122</v>
      </c>
      <c r="D184" s="86"/>
      <c r="E184" s="78"/>
      <c r="F184" s="80"/>
      <c r="G184" s="97"/>
    </row>
    <row r="185" spans="1:7" s="14" customFormat="1" ht="24.6" customHeight="1" x14ac:dyDescent="0.2">
      <c r="A185" s="67" t="s">
        <v>46</v>
      </c>
      <c r="B185" s="68"/>
      <c r="C185" s="68"/>
      <c r="D185" s="68"/>
      <c r="E185" s="68"/>
      <c r="F185" s="68"/>
      <c r="G185" s="69"/>
    </row>
    <row r="186" spans="1:7" s="14" customFormat="1" ht="33.6" customHeight="1" x14ac:dyDescent="0.2">
      <c r="A186" s="102">
        <v>12</v>
      </c>
      <c r="B186" s="71" t="str">
        <f>B183</f>
        <v xml:space="preserve">Wizja w terenie 
Projekt </v>
      </c>
      <c r="C186" s="2" t="s">
        <v>125</v>
      </c>
      <c r="D186" s="72" t="s">
        <v>25</v>
      </c>
      <c r="E186" s="73">
        <f>( 200-6.3) * 2</f>
        <v>387.4</v>
      </c>
      <c r="F186" s="74"/>
      <c r="G186" s="103">
        <f>ROUND(E186*F186,2)</f>
        <v>0</v>
      </c>
    </row>
    <row r="187" spans="1:7" s="14" customFormat="1" ht="37.9" customHeight="1" x14ac:dyDescent="0.2">
      <c r="A187" s="102"/>
      <c r="B187" s="71"/>
      <c r="C187" s="1" t="s">
        <v>126</v>
      </c>
      <c r="D187" s="72"/>
      <c r="E187" s="73"/>
      <c r="F187" s="74"/>
      <c r="G187" s="103"/>
    </row>
    <row r="188" spans="1:7" s="14" customFormat="1" ht="31.9" customHeight="1" x14ac:dyDescent="0.2">
      <c r="A188" s="102">
        <v>13</v>
      </c>
      <c r="B188" s="71" t="str">
        <f>B186</f>
        <v xml:space="preserve">Wizja w terenie 
Projekt </v>
      </c>
      <c r="C188" s="2" t="s">
        <v>106</v>
      </c>
      <c r="D188" s="72" t="s">
        <v>25</v>
      </c>
      <c r="E188" s="73">
        <f>(200-6.3-4.2-4.5)*2</f>
        <v>370</v>
      </c>
      <c r="F188" s="74"/>
      <c r="G188" s="103">
        <f t="shared" ref="G188" si="28">ROUND(E188*F188,)</f>
        <v>0</v>
      </c>
    </row>
    <row r="189" spans="1:7" s="14" customFormat="1" ht="37.9" customHeight="1" x14ac:dyDescent="0.2">
      <c r="A189" s="102"/>
      <c r="B189" s="71"/>
      <c r="C189" s="1" t="s">
        <v>127</v>
      </c>
      <c r="D189" s="72"/>
      <c r="E189" s="73"/>
      <c r="F189" s="74"/>
      <c r="G189" s="103"/>
    </row>
    <row r="190" spans="1:7" ht="25.15" customHeight="1" x14ac:dyDescent="0.2">
      <c r="A190" s="102">
        <v>14</v>
      </c>
      <c r="B190" s="71" t="str">
        <f>B186</f>
        <v xml:space="preserve">Wizja w terenie 
Projekt </v>
      </c>
      <c r="C190" s="2" t="s">
        <v>166</v>
      </c>
      <c r="D190" s="72" t="s">
        <v>25</v>
      </c>
      <c r="E190" s="73">
        <f>0.3*216</f>
        <v>64.8</v>
      </c>
      <c r="F190" s="74"/>
      <c r="G190" s="103">
        <f t="shared" ref="G190" si="29">ROUND(E190*F190,)</f>
        <v>0</v>
      </c>
    </row>
    <row r="191" spans="1:7" ht="30.6" customHeight="1" x14ac:dyDescent="0.2">
      <c r="A191" s="102"/>
      <c r="B191" s="71"/>
      <c r="C191" s="1" t="s">
        <v>262</v>
      </c>
      <c r="D191" s="72"/>
      <c r="E191" s="73"/>
      <c r="F191" s="74"/>
      <c r="G191" s="103"/>
    </row>
    <row r="192" spans="1:7" s="14" customFormat="1" ht="33" customHeight="1" x14ac:dyDescent="0.2">
      <c r="A192" s="102">
        <v>15</v>
      </c>
      <c r="B192" s="71" t="str">
        <f>B188</f>
        <v xml:space="preserve">Wizja w terenie 
Projekt </v>
      </c>
      <c r="C192" s="2" t="s">
        <v>128</v>
      </c>
      <c r="D192" s="72" t="s">
        <v>25</v>
      </c>
      <c r="E192" s="73">
        <f>(4.2+3)*2*0.5+(4.5+3)*2*0.5</f>
        <v>14.7</v>
      </c>
      <c r="F192" s="74"/>
      <c r="G192" s="103">
        <f>ROUND(E192*F192,2)</f>
        <v>0</v>
      </c>
    </row>
    <row r="193" spans="1:9" s="14" customFormat="1" ht="41.45" customHeight="1" thickBot="1" x14ac:dyDescent="0.25">
      <c r="A193" s="102"/>
      <c r="B193" s="71"/>
      <c r="C193" s="1" t="s">
        <v>129</v>
      </c>
      <c r="D193" s="72"/>
      <c r="E193" s="73"/>
      <c r="F193" s="74"/>
      <c r="G193" s="103"/>
    </row>
    <row r="194" spans="1:9" s="14" customFormat="1" ht="24.75" customHeight="1" thickBot="1" x14ac:dyDescent="0.25">
      <c r="A194" s="107" t="s">
        <v>9</v>
      </c>
      <c r="B194" s="108"/>
      <c r="C194" s="108"/>
      <c r="D194" s="108"/>
      <c r="E194" s="108"/>
      <c r="F194" s="109"/>
      <c r="G194" s="15">
        <f>SUM(G181,G183,G186,G188,G190,G192)</f>
        <v>0</v>
      </c>
    </row>
    <row r="195" spans="1:9" s="14" customFormat="1" ht="28.9" customHeight="1" x14ac:dyDescent="0.2">
      <c r="A195" s="67" t="s">
        <v>48</v>
      </c>
      <c r="B195" s="68"/>
      <c r="C195" s="68"/>
      <c r="D195" s="68"/>
      <c r="E195" s="68"/>
      <c r="F195" s="68"/>
      <c r="G195" s="101"/>
    </row>
    <row r="196" spans="1:9" s="14" customFormat="1" ht="40.5" customHeight="1" x14ac:dyDescent="0.2">
      <c r="A196" s="70">
        <v>16</v>
      </c>
      <c r="B196" s="71" t="str">
        <f>B192</f>
        <v xml:space="preserve">Wizja w terenie 
Projekt </v>
      </c>
      <c r="C196" s="2" t="s">
        <v>254</v>
      </c>
      <c r="D196" s="72" t="s">
        <v>25</v>
      </c>
      <c r="E196" s="77">
        <f>370+14.7+437.73+59.25</f>
        <v>881.68000000000006</v>
      </c>
      <c r="F196" s="79"/>
      <c r="G196" s="96">
        <f>ROUND(E196*F196,2)</f>
        <v>0</v>
      </c>
    </row>
    <row r="197" spans="1:9" s="14" customFormat="1" ht="102.6" customHeight="1" thickBot="1" x14ac:dyDescent="0.25">
      <c r="A197" s="70"/>
      <c r="B197" s="71"/>
      <c r="C197" s="1" t="s">
        <v>130</v>
      </c>
      <c r="D197" s="104"/>
      <c r="E197" s="105"/>
      <c r="F197" s="106"/>
      <c r="G197" s="97"/>
    </row>
    <row r="198" spans="1:9" s="14" customFormat="1" ht="28.9" customHeight="1" thickBot="1" x14ac:dyDescent="0.25">
      <c r="A198" s="98" t="s">
        <v>261</v>
      </c>
      <c r="B198" s="99"/>
      <c r="C198" s="99"/>
      <c r="D198" s="99"/>
      <c r="E198" s="99"/>
      <c r="F198" s="100"/>
      <c r="G198" s="30">
        <f>G196</f>
        <v>0</v>
      </c>
    </row>
    <row r="199" spans="1:9" s="14" customFormat="1" ht="27.6" customHeight="1" x14ac:dyDescent="0.2">
      <c r="A199" s="67" t="s">
        <v>51</v>
      </c>
      <c r="B199" s="68"/>
      <c r="C199" s="68"/>
      <c r="D199" s="68"/>
      <c r="E199" s="68"/>
      <c r="F199" s="68"/>
      <c r="G199" s="101"/>
    </row>
    <row r="200" spans="1:9" s="14" customFormat="1" ht="39.6" customHeight="1" x14ac:dyDescent="0.2">
      <c r="A200" s="70">
        <v>17</v>
      </c>
      <c r="B200" s="71" t="str">
        <f>B196</f>
        <v xml:space="preserve">Wizja w terenie 
Projekt </v>
      </c>
      <c r="C200" s="2" t="s">
        <v>96</v>
      </c>
      <c r="D200" s="115" t="s">
        <v>10</v>
      </c>
      <c r="E200" s="73">
        <f>200+1.5+2+3.14*2*4*0.5</f>
        <v>216.06</v>
      </c>
      <c r="F200" s="74"/>
      <c r="G200" s="103">
        <f>ROUND(E200*F200,2)</f>
        <v>0</v>
      </c>
    </row>
    <row r="201" spans="1:9" s="14" customFormat="1" ht="24.6" customHeight="1" x14ac:dyDescent="0.2">
      <c r="A201" s="70"/>
      <c r="B201" s="71"/>
      <c r="C201" s="1" t="s">
        <v>132</v>
      </c>
      <c r="D201" s="115"/>
      <c r="E201" s="73"/>
      <c r="F201" s="74"/>
      <c r="G201" s="103"/>
    </row>
    <row r="202" spans="1:9" s="14" customFormat="1" ht="27.75" customHeight="1" x14ac:dyDescent="0.2">
      <c r="A202" s="70">
        <v>18</v>
      </c>
      <c r="B202" s="71" t="str">
        <f>B200</f>
        <v xml:space="preserve">Wizja w terenie 
Projekt </v>
      </c>
      <c r="C202" s="2" t="s">
        <v>98</v>
      </c>
      <c r="D202" s="115" t="s">
        <v>10</v>
      </c>
      <c r="E202" s="73">
        <f>53 + 9.5+85+ 75</f>
        <v>222.5</v>
      </c>
      <c r="F202" s="74"/>
      <c r="G202" s="103">
        <f t="shared" ref="G202" si="30">ROUND(E202*F202,2)</f>
        <v>0</v>
      </c>
    </row>
    <row r="203" spans="1:9" s="14" customFormat="1" ht="25.5" customHeight="1" thickBot="1" x14ac:dyDescent="0.25">
      <c r="A203" s="70"/>
      <c r="B203" s="71"/>
      <c r="C203" s="1" t="s">
        <v>133</v>
      </c>
      <c r="D203" s="115"/>
      <c r="E203" s="73"/>
      <c r="F203" s="74"/>
      <c r="G203" s="103"/>
    </row>
    <row r="204" spans="1:9" s="14" customFormat="1" ht="25.9" customHeight="1" thickBot="1" x14ac:dyDescent="0.25">
      <c r="A204" s="107" t="s">
        <v>1</v>
      </c>
      <c r="B204" s="108"/>
      <c r="C204" s="108"/>
      <c r="D204" s="108"/>
      <c r="E204" s="108"/>
      <c r="F204" s="109"/>
      <c r="G204" s="15">
        <f>SUM(G200+G202)</f>
        <v>0</v>
      </c>
    </row>
    <row r="205" spans="1:9" ht="28.15" customHeight="1" x14ac:dyDescent="0.2">
      <c r="A205" s="116" t="s">
        <v>52</v>
      </c>
      <c r="B205" s="117"/>
      <c r="C205" s="117"/>
      <c r="D205" s="117"/>
      <c r="E205" s="117"/>
      <c r="F205" s="117"/>
      <c r="G205" s="118"/>
      <c r="H205" s="13"/>
      <c r="I205" s="13"/>
    </row>
    <row r="206" spans="1:9" ht="37.15" customHeight="1" x14ac:dyDescent="0.2">
      <c r="A206" s="119">
        <v>19</v>
      </c>
      <c r="B206" s="120" t="str">
        <f>B202</f>
        <v xml:space="preserve">Wizja w terenie 
Projekt </v>
      </c>
      <c r="C206" s="7" t="s">
        <v>104</v>
      </c>
      <c r="D206" s="138" t="s">
        <v>30</v>
      </c>
      <c r="E206" s="140">
        <v>1</v>
      </c>
      <c r="F206" s="141"/>
      <c r="G206" s="103">
        <f t="shared" ref="G206" si="31">ROUND(E206*F206,2)</f>
        <v>0</v>
      </c>
      <c r="H206" s="13"/>
      <c r="I206" s="13"/>
    </row>
    <row r="207" spans="1:9" ht="20.25" customHeight="1" thickBot="1" x14ac:dyDescent="0.25">
      <c r="A207" s="119"/>
      <c r="B207" s="120"/>
      <c r="C207" s="8" t="s">
        <v>16</v>
      </c>
      <c r="D207" s="139"/>
      <c r="E207" s="140"/>
      <c r="F207" s="142"/>
      <c r="G207" s="103"/>
      <c r="H207" s="13"/>
      <c r="I207" s="13"/>
    </row>
    <row r="208" spans="1:9" ht="24" thickBot="1" x14ac:dyDescent="0.25">
      <c r="A208" s="143" t="s">
        <v>0</v>
      </c>
      <c r="B208" s="144"/>
      <c r="C208" s="144"/>
      <c r="D208" s="144"/>
      <c r="E208" s="144"/>
      <c r="F208" s="145"/>
      <c r="G208" s="20">
        <f>G206</f>
        <v>0</v>
      </c>
      <c r="H208" s="13"/>
      <c r="I208" s="13"/>
    </row>
    <row r="209" spans="1:9" s="14" customFormat="1" ht="30.75" customHeight="1" x14ac:dyDescent="0.2">
      <c r="A209" s="146" t="s">
        <v>35</v>
      </c>
      <c r="B209" s="147"/>
      <c r="C209" s="147"/>
      <c r="D209" s="147"/>
      <c r="E209" s="147"/>
      <c r="F209" s="148"/>
      <c r="G209" s="12">
        <f>SUM(G179,G194,G198,G204,G208)</f>
        <v>0</v>
      </c>
    </row>
    <row r="210" spans="1:9" s="14" customFormat="1" ht="30.75" customHeight="1" thickBot="1" x14ac:dyDescent="0.25">
      <c r="A210" s="146" t="s">
        <v>137</v>
      </c>
      <c r="B210" s="147"/>
      <c r="C210" s="147"/>
      <c r="D210" s="147"/>
      <c r="E210" s="147"/>
      <c r="F210" s="148"/>
      <c r="G210" s="21">
        <f>G209*0.23</f>
        <v>0</v>
      </c>
    </row>
    <row r="211" spans="1:9" s="14" customFormat="1" ht="34.9" customHeight="1" thickBot="1" x14ac:dyDescent="0.4">
      <c r="A211" s="149" t="s">
        <v>138</v>
      </c>
      <c r="B211" s="150"/>
      <c r="C211" s="150"/>
      <c r="D211" s="150"/>
      <c r="E211" s="150"/>
      <c r="F211" s="150"/>
      <c r="G211" s="22">
        <f>G209*1.23</f>
        <v>0</v>
      </c>
      <c r="I211" s="51"/>
    </row>
    <row r="212" spans="1:9" s="14" customFormat="1" ht="37.9" customHeight="1" thickBot="1" x14ac:dyDescent="0.25">
      <c r="A212" s="49"/>
      <c r="B212" s="49"/>
      <c r="C212" s="49"/>
      <c r="D212" s="49"/>
      <c r="E212" s="49"/>
      <c r="F212" s="49"/>
      <c r="G212" s="41"/>
    </row>
    <row r="213" spans="1:9" ht="40.9" customHeight="1" thickBot="1" x14ac:dyDescent="0.25">
      <c r="A213" s="58" t="s">
        <v>276</v>
      </c>
      <c r="B213" s="59"/>
      <c r="C213" s="59"/>
      <c r="D213" s="59"/>
      <c r="E213" s="59"/>
      <c r="F213" s="59"/>
      <c r="G213" s="60"/>
    </row>
    <row r="214" spans="1:9" s="14" customFormat="1" ht="69" customHeight="1" x14ac:dyDescent="0.2">
      <c r="A214" s="61" t="s">
        <v>280</v>
      </c>
      <c r="B214" s="62"/>
      <c r="C214" s="62"/>
      <c r="D214" s="62"/>
      <c r="E214" s="62"/>
      <c r="F214" s="62"/>
      <c r="G214" s="63"/>
    </row>
    <row r="215" spans="1:9" s="14" customFormat="1" ht="59.25" customHeight="1" thickBot="1" x14ac:dyDescent="0.25">
      <c r="A215" s="64" t="s">
        <v>140</v>
      </c>
      <c r="B215" s="65"/>
      <c r="C215" s="65"/>
      <c r="D215" s="65"/>
      <c r="E215" s="65"/>
      <c r="F215" s="65"/>
      <c r="G215" s="66"/>
    </row>
    <row r="216" spans="1:9" ht="60.6" customHeight="1" x14ac:dyDescent="0.2">
      <c r="A216" s="23" t="s">
        <v>2</v>
      </c>
      <c r="B216" s="24" t="s">
        <v>3</v>
      </c>
      <c r="C216" s="25" t="s">
        <v>4</v>
      </c>
      <c r="D216" s="25" t="s">
        <v>5</v>
      </c>
      <c r="E216" s="26" t="s">
        <v>6</v>
      </c>
      <c r="F216" s="27" t="s">
        <v>7</v>
      </c>
      <c r="G216" s="28" t="s">
        <v>8</v>
      </c>
    </row>
    <row r="217" spans="1:9" ht="26.45" customHeight="1" x14ac:dyDescent="0.2">
      <c r="A217" s="67" t="s">
        <v>43</v>
      </c>
      <c r="B217" s="68"/>
      <c r="C217" s="68"/>
      <c r="D217" s="68"/>
      <c r="E217" s="68"/>
      <c r="F217" s="68"/>
      <c r="G217" s="69"/>
    </row>
    <row r="218" spans="1:9" ht="37.15" customHeight="1" x14ac:dyDescent="0.2">
      <c r="A218" s="32">
        <v>1</v>
      </c>
      <c r="B218" s="33" t="s">
        <v>20</v>
      </c>
      <c r="C218" s="2" t="s">
        <v>42</v>
      </c>
      <c r="D218" s="35" t="s">
        <v>14</v>
      </c>
      <c r="E218" s="34">
        <f>0.53376+0.54765-0.105</f>
        <v>0.97641</v>
      </c>
      <c r="F218" s="3"/>
      <c r="G218" s="29">
        <f>ROUND(E218*F218,2)</f>
        <v>0</v>
      </c>
    </row>
    <row r="219" spans="1:9" ht="39.6" customHeight="1" x14ac:dyDescent="0.2">
      <c r="A219" s="32">
        <v>2</v>
      </c>
      <c r="B219" s="33" t="s">
        <v>20</v>
      </c>
      <c r="C219" s="2" t="s">
        <v>34</v>
      </c>
      <c r="D219" s="35" t="s">
        <v>30</v>
      </c>
      <c r="E219" s="34">
        <v>1</v>
      </c>
      <c r="F219" s="3"/>
      <c r="G219" s="29">
        <f>ROUND(E219*F219,2)</f>
        <v>0</v>
      </c>
    </row>
    <row r="220" spans="1:9" ht="27.6" customHeight="1" x14ac:dyDescent="0.2">
      <c r="A220" s="67" t="s">
        <v>116</v>
      </c>
      <c r="B220" s="68"/>
      <c r="C220" s="68"/>
      <c r="D220" s="68"/>
      <c r="E220" s="68"/>
      <c r="F220" s="68"/>
      <c r="G220" s="69"/>
    </row>
    <row r="221" spans="1:9" ht="77.45" customHeight="1" x14ac:dyDescent="0.2">
      <c r="A221" s="70">
        <v>3</v>
      </c>
      <c r="B221" s="71" t="str">
        <f>B219</f>
        <v xml:space="preserve">Wizja w terenie 
Projekt </v>
      </c>
      <c r="C221" s="2" t="s">
        <v>139</v>
      </c>
      <c r="D221" s="72" t="s">
        <v>10</v>
      </c>
      <c r="E221" s="73">
        <f>178.8+33+235.85+43.47+28.16+135.6+130.5</f>
        <v>785.38</v>
      </c>
      <c r="F221" s="74"/>
      <c r="G221" s="81">
        <f>ROUND(E221*F221,2)</f>
        <v>0</v>
      </c>
    </row>
    <row r="222" spans="1:9" ht="79.150000000000006" customHeight="1" x14ac:dyDescent="0.2">
      <c r="A222" s="70"/>
      <c r="B222" s="71"/>
      <c r="C222" s="1" t="s">
        <v>220</v>
      </c>
      <c r="D222" s="72"/>
      <c r="E222" s="73"/>
      <c r="F222" s="74"/>
      <c r="G222" s="82"/>
    </row>
    <row r="223" spans="1:9" ht="52.15" customHeight="1" x14ac:dyDescent="0.2">
      <c r="A223" s="70">
        <v>4</v>
      </c>
      <c r="B223" s="75" t="str">
        <f>B221</f>
        <v xml:space="preserve">Wizja w terenie 
Projekt </v>
      </c>
      <c r="C223" s="2" t="s">
        <v>24</v>
      </c>
      <c r="D223" s="72" t="s">
        <v>10</v>
      </c>
      <c r="E223" s="77">
        <f>12+32.94 +5.25+39.8+46 +2.5</f>
        <v>138.49</v>
      </c>
      <c r="F223" s="79"/>
      <c r="G223" s="81">
        <f>ROUND(E223*F223,2)</f>
        <v>0</v>
      </c>
    </row>
    <row r="224" spans="1:9" ht="47.45" customHeight="1" x14ac:dyDescent="0.2">
      <c r="A224" s="70"/>
      <c r="B224" s="76"/>
      <c r="C224" s="1" t="s">
        <v>221</v>
      </c>
      <c r="D224" s="72"/>
      <c r="E224" s="78"/>
      <c r="F224" s="80"/>
      <c r="G224" s="82"/>
    </row>
    <row r="225" spans="1:7" ht="48" customHeight="1" x14ac:dyDescent="0.2">
      <c r="A225" s="70">
        <v>5</v>
      </c>
      <c r="B225" s="75" t="str">
        <f>B223</f>
        <v xml:space="preserve">Wizja w terenie 
Projekt </v>
      </c>
      <c r="C225" s="1" t="s">
        <v>147</v>
      </c>
      <c r="D225" s="85" t="s">
        <v>25</v>
      </c>
      <c r="E225" s="77">
        <f>(178.8)*1.85+33*2+217.5*1.65+145.5+ (129.5)*1.5 - 68.35</f>
        <v>1027.0550000000001</v>
      </c>
      <c r="F225" s="79"/>
      <c r="G225" s="81">
        <f>ROUND(E225*F225,2)</f>
        <v>0</v>
      </c>
    </row>
    <row r="226" spans="1:7" ht="45.6" customHeight="1" x14ac:dyDescent="0.2">
      <c r="A226" s="70"/>
      <c r="B226" s="76"/>
      <c r="C226" s="1" t="s">
        <v>222</v>
      </c>
      <c r="D226" s="86"/>
      <c r="E226" s="78"/>
      <c r="F226" s="80"/>
      <c r="G226" s="82"/>
    </row>
    <row r="227" spans="1:7" ht="51" customHeight="1" x14ac:dyDescent="0.2">
      <c r="A227" s="70">
        <v>6</v>
      </c>
      <c r="B227" s="75" t="str">
        <f>B225</f>
        <v xml:space="preserve">Wizja w terenie 
Projekt </v>
      </c>
      <c r="C227" s="2" t="s">
        <v>158</v>
      </c>
      <c r="D227" s="72" t="s">
        <v>25</v>
      </c>
      <c r="E227" s="151">
        <f xml:space="preserve"> (547.65-105-12.5)*1.2</f>
        <v>516.17999999999995</v>
      </c>
      <c r="F227" s="74"/>
      <c r="G227" s="81">
        <f>ROUND(E227*F227,2)</f>
        <v>0</v>
      </c>
    </row>
    <row r="228" spans="1:7" ht="57" customHeight="1" x14ac:dyDescent="0.2">
      <c r="A228" s="70"/>
      <c r="B228" s="76"/>
      <c r="C228" s="1" t="s">
        <v>223</v>
      </c>
      <c r="D228" s="72"/>
      <c r="E228" s="152"/>
      <c r="F228" s="74"/>
      <c r="G228" s="82"/>
    </row>
    <row r="229" spans="1:7" ht="37.15" customHeight="1" x14ac:dyDescent="0.2">
      <c r="A229" s="70">
        <v>7</v>
      </c>
      <c r="B229" s="75" t="str">
        <f>B227</f>
        <v xml:space="preserve">Wizja w terenie 
Projekt </v>
      </c>
      <c r="C229" s="2" t="s">
        <v>157</v>
      </c>
      <c r="D229" s="72" t="s">
        <v>11</v>
      </c>
      <c r="E229" s="73">
        <v>4</v>
      </c>
      <c r="F229" s="74"/>
      <c r="G229" s="81">
        <f>ROUND(E229*F229,2)</f>
        <v>0</v>
      </c>
    </row>
    <row r="230" spans="1:7" ht="21" customHeight="1" x14ac:dyDescent="0.2">
      <c r="A230" s="70"/>
      <c r="B230" s="76"/>
      <c r="C230" s="1" t="s">
        <v>255</v>
      </c>
      <c r="D230" s="72"/>
      <c r="E230" s="73"/>
      <c r="F230" s="74"/>
      <c r="G230" s="82"/>
    </row>
    <row r="231" spans="1:7" ht="36.6" customHeight="1" x14ac:dyDescent="0.2">
      <c r="A231" s="70">
        <v>8</v>
      </c>
      <c r="B231" s="75" t="str">
        <f>B229</f>
        <v xml:space="preserve">Wizja w terenie 
Projekt </v>
      </c>
      <c r="C231" s="2" t="s">
        <v>156</v>
      </c>
      <c r="D231" s="72" t="s">
        <v>25</v>
      </c>
      <c r="E231" s="73">
        <f>4.5*2+4.2*2+(4+4+4+3.5)*2+(4+4.3+5)*1.5</f>
        <v>68.349999999999994</v>
      </c>
      <c r="F231" s="74"/>
      <c r="G231" s="81">
        <f>ROUND(E231*F231,2)</f>
        <v>0</v>
      </c>
    </row>
    <row r="232" spans="1:7" ht="59.45" customHeight="1" x14ac:dyDescent="0.2">
      <c r="A232" s="70"/>
      <c r="B232" s="76"/>
      <c r="C232" s="31" t="s">
        <v>224</v>
      </c>
      <c r="D232" s="72"/>
      <c r="E232" s="73"/>
      <c r="F232" s="74"/>
      <c r="G232" s="82"/>
    </row>
    <row r="233" spans="1:7" ht="64.900000000000006" customHeight="1" x14ac:dyDescent="0.2">
      <c r="A233" s="70">
        <v>9</v>
      </c>
      <c r="B233" s="75" t="str">
        <f>B231</f>
        <v xml:space="preserve">Wizja w terenie 
Projekt </v>
      </c>
      <c r="C233" s="2" t="s">
        <v>159</v>
      </c>
      <c r="D233" s="72" t="s">
        <v>25</v>
      </c>
      <c r="E233" s="73">
        <f>25.4*1.5</f>
        <v>38.099999999999994</v>
      </c>
      <c r="F233" s="74"/>
      <c r="G233" s="81">
        <f>ROUND(E233*F233,2)</f>
        <v>0</v>
      </c>
    </row>
    <row r="234" spans="1:7" ht="40.15" customHeight="1" x14ac:dyDescent="0.2">
      <c r="A234" s="70"/>
      <c r="B234" s="76"/>
      <c r="C234" s="31" t="s">
        <v>225</v>
      </c>
      <c r="D234" s="72"/>
      <c r="E234" s="73"/>
      <c r="F234" s="74"/>
      <c r="G234" s="82"/>
    </row>
    <row r="235" spans="1:7" ht="54" customHeight="1" x14ac:dyDescent="0.2">
      <c r="A235" s="70">
        <v>10</v>
      </c>
      <c r="B235" s="75" t="str">
        <f>B223</f>
        <v xml:space="preserve">Wizja w terenie 
Projekt </v>
      </c>
      <c r="C235" s="2" t="s">
        <v>141</v>
      </c>
      <c r="D235" s="72" t="s">
        <v>25</v>
      </c>
      <c r="E235" s="73">
        <f>329.42+588.2+504.95+595.4+627.25+725.8+300.5-47</f>
        <v>3624.5200000000004</v>
      </c>
      <c r="F235" s="74"/>
      <c r="G235" s="81">
        <f>ROUND(E235*F235,2)</f>
        <v>0</v>
      </c>
    </row>
    <row r="236" spans="1:7" ht="36.6" customHeight="1" x14ac:dyDescent="0.2">
      <c r="A236" s="70"/>
      <c r="B236" s="76"/>
      <c r="C236" s="1" t="s">
        <v>265</v>
      </c>
      <c r="D236" s="72"/>
      <c r="E236" s="73"/>
      <c r="F236" s="74"/>
      <c r="G236" s="82"/>
    </row>
    <row r="237" spans="1:7" ht="37.15" customHeight="1" x14ac:dyDescent="0.2">
      <c r="A237" s="70">
        <v>11</v>
      </c>
      <c r="B237" s="75" t="str">
        <f>B235</f>
        <v xml:space="preserve">Wizja w terenie 
Projekt </v>
      </c>
      <c r="C237" s="2" t="s">
        <v>144</v>
      </c>
      <c r="D237" s="72" t="s">
        <v>25</v>
      </c>
      <c r="E237" s="73">
        <f>0.4*57</f>
        <v>22.8</v>
      </c>
      <c r="F237" s="74"/>
      <c r="G237" s="81">
        <f t="shared" ref="G237" si="32">ROUND(E237*F237,2)</f>
        <v>0</v>
      </c>
    </row>
    <row r="238" spans="1:7" ht="47.45" customHeight="1" x14ac:dyDescent="0.2">
      <c r="A238" s="70"/>
      <c r="B238" s="76"/>
      <c r="C238" s="1" t="s">
        <v>226</v>
      </c>
      <c r="D238" s="72"/>
      <c r="E238" s="73"/>
      <c r="F238" s="74"/>
      <c r="G238" s="82"/>
    </row>
    <row r="239" spans="1:7" ht="40.15" customHeight="1" x14ac:dyDescent="0.2">
      <c r="A239" s="70">
        <v>12</v>
      </c>
      <c r="B239" s="75" t="str">
        <f>B237</f>
        <v xml:space="preserve">Wizja w terenie 
Projekt </v>
      </c>
      <c r="C239" s="1" t="s">
        <v>142</v>
      </c>
      <c r="D239" s="85" t="s">
        <v>10</v>
      </c>
      <c r="E239" s="73">
        <v>22</v>
      </c>
      <c r="F239" s="79"/>
      <c r="G239" s="81">
        <f t="shared" ref="G239" si="33">ROUND(E239*F239,2)</f>
        <v>0</v>
      </c>
    </row>
    <row r="240" spans="1:7" ht="16.899999999999999" customHeight="1" x14ac:dyDescent="0.2">
      <c r="A240" s="70"/>
      <c r="B240" s="76"/>
      <c r="C240" s="1" t="s">
        <v>143</v>
      </c>
      <c r="D240" s="86"/>
      <c r="E240" s="73"/>
      <c r="F240" s="80"/>
      <c r="G240" s="82"/>
    </row>
    <row r="241" spans="1:7" ht="39" customHeight="1" x14ac:dyDescent="0.2">
      <c r="A241" s="70">
        <v>13</v>
      </c>
      <c r="B241" s="75" t="str">
        <f>B239</f>
        <v xml:space="preserve">Wizja w terenie 
Projekt </v>
      </c>
      <c r="C241" s="1" t="s">
        <v>145</v>
      </c>
      <c r="D241" s="72" t="s">
        <v>11</v>
      </c>
      <c r="E241" s="77">
        <v>8</v>
      </c>
      <c r="F241" s="74"/>
      <c r="G241" s="81">
        <f>ROUND(E241*F241,2)</f>
        <v>0</v>
      </c>
    </row>
    <row r="242" spans="1:7" ht="21.6" customHeight="1" x14ac:dyDescent="0.2">
      <c r="A242" s="70"/>
      <c r="B242" s="76"/>
      <c r="C242" s="1" t="s">
        <v>256</v>
      </c>
      <c r="D242" s="72"/>
      <c r="E242" s="78"/>
      <c r="F242" s="74"/>
      <c r="G242" s="82"/>
    </row>
    <row r="243" spans="1:7" ht="24.6" customHeight="1" x14ac:dyDescent="0.2">
      <c r="A243" s="70">
        <v>14</v>
      </c>
      <c r="B243" s="75" t="str">
        <f>B241</f>
        <v xml:space="preserve">Wizja w terenie 
Projekt </v>
      </c>
      <c r="C243" s="1" t="s">
        <v>160</v>
      </c>
      <c r="D243" s="72" t="s">
        <v>11</v>
      </c>
      <c r="E243" s="77">
        <v>1</v>
      </c>
      <c r="F243" s="74"/>
      <c r="G243" s="81">
        <f>ROUND(E243*F243,2)</f>
        <v>0</v>
      </c>
    </row>
    <row r="244" spans="1:7" ht="19.899999999999999" customHeight="1" x14ac:dyDescent="0.2">
      <c r="A244" s="70"/>
      <c r="B244" s="76"/>
      <c r="C244" s="1" t="s">
        <v>154</v>
      </c>
      <c r="D244" s="72"/>
      <c r="E244" s="78"/>
      <c r="F244" s="74"/>
      <c r="G244" s="82"/>
    </row>
    <row r="245" spans="1:7" ht="50.45" customHeight="1" x14ac:dyDescent="0.2">
      <c r="A245" s="70">
        <v>15</v>
      </c>
      <c r="B245" s="75" t="str">
        <f>B241</f>
        <v xml:space="preserve">Wizja w terenie 
Projekt </v>
      </c>
      <c r="C245" s="1" t="s">
        <v>89</v>
      </c>
      <c r="D245" s="72" t="s">
        <v>23</v>
      </c>
      <c r="E245" s="77">
        <v>1</v>
      </c>
      <c r="F245" s="74"/>
      <c r="G245" s="81">
        <f t="shared" ref="G245" si="34">ROUND(E245*F245,2)</f>
        <v>0</v>
      </c>
    </row>
    <row r="246" spans="1:7" ht="24" customHeight="1" x14ac:dyDescent="0.2">
      <c r="A246" s="70"/>
      <c r="B246" s="76"/>
      <c r="C246" s="1" t="s">
        <v>68</v>
      </c>
      <c r="D246" s="72"/>
      <c r="E246" s="78"/>
      <c r="F246" s="74"/>
      <c r="G246" s="82"/>
    </row>
    <row r="247" spans="1:7" s="14" customFormat="1" ht="69" customHeight="1" x14ac:dyDescent="0.2">
      <c r="A247" s="70">
        <v>16</v>
      </c>
      <c r="B247" s="75" t="str">
        <f>B245</f>
        <v xml:space="preserve">Wizja w terenie 
Projekt </v>
      </c>
      <c r="C247" s="2" t="s">
        <v>263</v>
      </c>
      <c r="D247" s="72" t="s">
        <v>10</v>
      </c>
      <c r="E247" s="73">
        <f>73.5+24.75</f>
        <v>98.25</v>
      </c>
      <c r="F247" s="74"/>
      <c r="G247" s="81">
        <f t="shared" ref="G247" si="35">ROUND(E247*F247,2)</f>
        <v>0</v>
      </c>
    </row>
    <row r="248" spans="1:7" s="14" customFormat="1" ht="23.45" customHeight="1" x14ac:dyDescent="0.2">
      <c r="A248" s="70"/>
      <c r="B248" s="76"/>
      <c r="C248" s="1" t="s">
        <v>264</v>
      </c>
      <c r="D248" s="72"/>
      <c r="E248" s="73"/>
      <c r="F248" s="74"/>
      <c r="G248" s="82"/>
    </row>
    <row r="249" spans="1:7" ht="45" x14ac:dyDescent="0.2">
      <c r="A249" s="70">
        <v>17</v>
      </c>
      <c r="B249" s="75" t="str">
        <f>B245</f>
        <v xml:space="preserve">Wizja w terenie 
Projekt </v>
      </c>
      <c r="C249" s="2" t="s">
        <v>161</v>
      </c>
      <c r="D249" s="72" t="s">
        <v>25</v>
      </c>
      <c r="E249" s="73">
        <f>( 4+8)*2*0.5*7+(4.3+8.3)*0.5*1.5+(5+9)*0.5*2+(4+8)*2*0.5+4*2.8+(3+7)*2*0.5+3.2*2+(5+9)*2*0.5+5*3.2</f>
        <v>177.05</v>
      </c>
      <c r="F249" s="74"/>
      <c r="G249" s="81">
        <f t="shared" ref="G249" si="36">ROUND(E249*F249,2)</f>
        <v>0</v>
      </c>
    </row>
    <row r="250" spans="1:7" ht="88.9" customHeight="1" thickBot="1" x14ac:dyDescent="0.25">
      <c r="A250" s="70"/>
      <c r="B250" s="76"/>
      <c r="C250" s="1" t="s">
        <v>227</v>
      </c>
      <c r="D250" s="72"/>
      <c r="E250" s="73"/>
      <c r="F250" s="74"/>
      <c r="G250" s="82"/>
    </row>
    <row r="251" spans="1:7" ht="29.45" customHeight="1" thickBot="1" x14ac:dyDescent="0.25">
      <c r="A251" s="98" t="s">
        <v>146</v>
      </c>
      <c r="B251" s="99"/>
      <c r="C251" s="99"/>
      <c r="D251" s="99"/>
      <c r="E251" s="99"/>
      <c r="F251" s="100"/>
      <c r="G251" s="30">
        <f>SUM(G249,G247,G245,G243,G241,G239,G237,G235,G233,G231,G229,G227,G225,G223,G221,G219,G218)</f>
        <v>0</v>
      </c>
    </row>
    <row r="252" spans="1:7" ht="25.9" customHeight="1" x14ac:dyDescent="0.2">
      <c r="A252" s="67" t="s">
        <v>45</v>
      </c>
      <c r="B252" s="68"/>
      <c r="C252" s="68"/>
      <c r="D252" s="68"/>
      <c r="E252" s="68"/>
      <c r="F252" s="68"/>
      <c r="G252" s="101"/>
    </row>
    <row r="253" spans="1:7" ht="40.15" customHeight="1" x14ac:dyDescent="0.2">
      <c r="A253" s="83">
        <v>18</v>
      </c>
      <c r="B253" s="75" t="str">
        <f>B249</f>
        <v xml:space="preserve">Wizja w terenie 
Projekt </v>
      </c>
      <c r="C253" s="1" t="s">
        <v>148</v>
      </c>
      <c r="D253" s="85" t="s">
        <v>25</v>
      </c>
      <c r="E253" s="77">
        <f>(547.65-105-6.5-10-4.5-4.5-6-3.5-5.5)*2.2</f>
        <v>884.73</v>
      </c>
      <c r="F253" s="79"/>
      <c r="G253" s="96">
        <f>ROUND(E253*F253,2)</f>
        <v>0</v>
      </c>
    </row>
    <row r="254" spans="1:7" ht="40.15" customHeight="1" x14ac:dyDescent="0.2">
      <c r="A254" s="84"/>
      <c r="B254" s="76"/>
      <c r="C254" s="31" t="s">
        <v>228</v>
      </c>
      <c r="D254" s="86"/>
      <c r="E254" s="78"/>
      <c r="F254" s="80"/>
      <c r="G254" s="97"/>
    </row>
    <row r="255" spans="1:7" ht="39" customHeight="1" x14ac:dyDescent="0.2">
      <c r="A255" s="83">
        <v>19</v>
      </c>
      <c r="B255" s="75" t="str">
        <f>B253</f>
        <v xml:space="preserve">Wizja w terenie 
Projekt </v>
      </c>
      <c r="C255" s="1" t="s">
        <v>162</v>
      </c>
      <c r="D255" s="85" t="s">
        <v>25</v>
      </c>
      <c r="E255" s="77">
        <f>E249</f>
        <v>177.05</v>
      </c>
      <c r="F255" s="79"/>
      <c r="G255" s="96">
        <f t="shared" ref="G255" si="37">ROUND(E255*F255,2)</f>
        <v>0</v>
      </c>
    </row>
    <row r="256" spans="1:7" ht="88.9" customHeight="1" x14ac:dyDescent="0.2">
      <c r="A256" s="84"/>
      <c r="B256" s="76"/>
      <c r="C256" s="31" t="str">
        <f>C250</f>
        <v>Odcinek nr 1  od  ul.Bolesława Wysokiego -  zjazdy 
F=( 4+8)*2*0,5*7+(4,30+8,30)*0,5*1,5+(5+9)*0,5*2=107,45 m2 
Odcinek nr 2 w kierinku  miejscowości Gliniany  - zjazdy
F=(4+8)*2*0,5+4*2,80+(3+7)*2*0,5+3,2*2+(5+9)*2*0,5+5,0*3,2=69,60 m2</v>
      </c>
      <c r="D256" s="86"/>
      <c r="E256" s="78"/>
      <c r="F256" s="80"/>
      <c r="G256" s="97"/>
    </row>
    <row r="257" spans="1:7" ht="25.15" customHeight="1" x14ac:dyDescent="0.2">
      <c r="A257" s="67" t="s">
        <v>46</v>
      </c>
      <c r="B257" s="68"/>
      <c r="C257" s="68"/>
      <c r="D257" s="68"/>
      <c r="E257" s="68"/>
      <c r="F257" s="68"/>
      <c r="G257" s="69"/>
    </row>
    <row r="258" spans="1:7" ht="23.45" customHeight="1" x14ac:dyDescent="0.2">
      <c r="A258" s="102">
        <v>20</v>
      </c>
      <c r="B258" s="71" t="str">
        <f>B255</f>
        <v xml:space="preserve">Wizja w terenie 
Projekt </v>
      </c>
      <c r="C258" s="2" t="s">
        <v>229</v>
      </c>
      <c r="D258" s="72" t="s">
        <v>25</v>
      </c>
      <c r="E258" s="73">
        <f>(547.65-105 -7-5-10-6-8.5-8.5)*2.1</f>
        <v>835.06499999999994</v>
      </c>
      <c r="F258" s="74"/>
      <c r="G258" s="103">
        <f>ROUND(E258*F258,2)</f>
        <v>0</v>
      </c>
    </row>
    <row r="259" spans="1:7" ht="45.6" customHeight="1" x14ac:dyDescent="0.2">
      <c r="A259" s="102"/>
      <c r="B259" s="71"/>
      <c r="C259" s="1" t="s">
        <v>230</v>
      </c>
      <c r="D259" s="72"/>
      <c r="E259" s="73"/>
      <c r="F259" s="74"/>
      <c r="G259" s="103"/>
    </row>
    <row r="260" spans="1:7" ht="25.15" customHeight="1" x14ac:dyDescent="0.2">
      <c r="A260" s="102">
        <v>21</v>
      </c>
      <c r="B260" s="75" t="str">
        <f>B258</f>
        <v xml:space="preserve">Wizja w terenie 
Projekt </v>
      </c>
      <c r="C260" s="1" t="s">
        <v>231</v>
      </c>
      <c r="D260" s="85" t="s">
        <v>25</v>
      </c>
      <c r="E260" s="77">
        <f>E255</f>
        <v>177.05</v>
      </c>
      <c r="F260" s="79"/>
      <c r="G260" s="96">
        <f t="shared" ref="G260" si="38">ROUND(E260*F260,2)</f>
        <v>0</v>
      </c>
    </row>
    <row r="261" spans="1:7" ht="85.15" customHeight="1" x14ac:dyDescent="0.2">
      <c r="A261" s="102"/>
      <c r="B261" s="76"/>
      <c r="C261" s="31" t="s">
        <v>232</v>
      </c>
      <c r="D261" s="86"/>
      <c r="E261" s="78"/>
      <c r="F261" s="80"/>
      <c r="G261" s="97"/>
    </row>
    <row r="262" spans="1:7" ht="40.9" customHeight="1" x14ac:dyDescent="0.2">
      <c r="A262" s="102">
        <v>22</v>
      </c>
      <c r="B262" s="71" t="str">
        <f>B258</f>
        <v xml:space="preserve">Wizja w terenie 
Projekt </v>
      </c>
      <c r="C262" s="2" t="s">
        <v>233</v>
      </c>
      <c r="D262" s="72" t="s">
        <v>25</v>
      </c>
      <c r="E262" s="73">
        <f>(178.8 ) *2+32.9*2+217.5*1.5+145+130*1.5-107.45</f>
        <v>982.2</v>
      </c>
      <c r="F262" s="74"/>
      <c r="G262" s="103">
        <f t="shared" ref="G262" si="39">ROUND(E262*F262,)</f>
        <v>0</v>
      </c>
    </row>
    <row r="263" spans="1:7" ht="85.15" customHeight="1" x14ac:dyDescent="0.2">
      <c r="A263" s="102"/>
      <c r="B263" s="71"/>
      <c r="C263" s="1" t="s">
        <v>234</v>
      </c>
      <c r="D263" s="72"/>
      <c r="E263" s="73"/>
      <c r="F263" s="74"/>
      <c r="G263" s="103"/>
    </row>
    <row r="264" spans="1:7" s="56" customFormat="1" ht="25.15" customHeight="1" x14ac:dyDescent="0.2">
      <c r="A264" s="153">
        <v>23</v>
      </c>
      <c r="B264" s="154" t="str">
        <f>B260</f>
        <v xml:space="preserve">Wizja w terenie 
Projekt </v>
      </c>
      <c r="C264" s="53" t="s">
        <v>268</v>
      </c>
      <c r="D264" s="155" t="s">
        <v>270</v>
      </c>
      <c r="E264" s="156">
        <f>0.3*(398.65+43)</f>
        <v>132.49499999999998</v>
      </c>
      <c r="F264" s="157"/>
      <c r="G264" s="158">
        <f t="shared" ref="G264" si="40">ROUND(E264*F264,)</f>
        <v>0</v>
      </c>
    </row>
    <row r="265" spans="1:7" s="56" customFormat="1" ht="30.6" customHeight="1" x14ac:dyDescent="0.2">
      <c r="A265" s="153"/>
      <c r="B265" s="154"/>
      <c r="C265" s="54" t="s">
        <v>269</v>
      </c>
      <c r="D265" s="155"/>
      <c r="E265" s="156"/>
      <c r="F265" s="157"/>
      <c r="G265" s="158"/>
    </row>
    <row r="266" spans="1:7" ht="36.6" customHeight="1" x14ac:dyDescent="0.2">
      <c r="A266" s="102">
        <v>24</v>
      </c>
      <c r="B266" s="71" t="str">
        <f>B262</f>
        <v xml:space="preserve">Wizja w terenie 
Projekt </v>
      </c>
      <c r="C266" s="2" t="s">
        <v>149</v>
      </c>
      <c r="D266" s="72" t="s">
        <v>25</v>
      </c>
      <c r="E266" s="73">
        <v>69.599999999999994</v>
      </c>
      <c r="F266" s="74"/>
      <c r="G266" s="103">
        <f>ROUND(E266*F266,2)</f>
        <v>0</v>
      </c>
    </row>
    <row r="267" spans="1:7" ht="51" customHeight="1" x14ac:dyDescent="0.2">
      <c r="A267" s="102"/>
      <c r="B267" s="71"/>
      <c r="C267" s="31" t="s">
        <v>235</v>
      </c>
      <c r="D267" s="72"/>
      <c r="E267" s="73"/>
      <c r="F267" s="74"/>
      <c r="G267" s="103"/>
    </row>
    <row r="268" spans="1:7" ht="27" customHeight="1" x14ac:dyDescent="0.2">
      <c r="A268" s="67" t="s">
        <v>47</v>
      </c>
      <c r="B268" s="68"/>
      <c r="C268" s="68"/>
      <c r="D268" s="68"/>
      <c r="E268" s="68"/>
      <c r="F268" s="68"/>
      <c r="G268" s="69"/>
    </row>
    <row r="269" spans="1:7" ht="30" x14ac:dyDescent="0.2">
      <c r="A269" s="102">
        <v>25</v>
      </c>
      <c r="B269" s="71" t="str">
        <f>B266</f>
        <v xml:space="preserve">Wizja w terenie 
Projekt </v>
      </c>
      <c r="C269" s="2" t="s">
        <v>111</v>
      </c>
      <c r="D269" s="72" t="s">
        <v>15</v>
      </c>
      <c r="E269" s="73">
        <v>25</v>
      </c>
      <c r="F269" s="74"/>
      <c r="G269" s="103">
        <f>ROUND(E269*F269,2)</f>
        <v>0</v>
      </c>
    </row>
    <row r="270" spans="1:7" ht="24" customHeight="1" thickBot="1" x14ac:dyDescent="0.25">
      <c r="A270" s="102"/>
      <c r="B270" s="71"/>
      <c r="C270" s="1" t="s">
        <v>241</v>
      </c>
      <c r="D270" s="72"/>
      <c r="E270" s="73"/>
      <c r="F270" s="74"/>
      <c r="G270" s="103"/>
    </row>
    <row r="271" spans="1:7" ht="29.45" customHeight="1" thickBot="1" x14ac:dyDescent="0.25">
      <c r="A271" s="107" t="s">
        <v>9</v>
      </c>
      <c r="B271" s="108"/>
      <c r="C271" s="108"/>
      <c r="D271" s="108"/>
      <c r="E271" s="108"/>
      <c r="F271" s="109"/>
      <c r="G271" s="15">
        <f>SUM(G253,G255,G258,G260,G262,G264,G266,G269)</f>
        <v>0</v>
      </c>
    </row>
    <row r="272" spans="1:7" ht="28.15" customHeight="1" x14ac:dyDescent="0.2">
      <c r="A272" s="67" t="s">
        <v>48</v>
      </c>
      <c r="B272" s="68"/>
      <c r="C272" s="68"/>
      <c r="D272" s="68"/>
      <c r="E272" s="68"/>
      <c r="F272" s="68"/>
      <c r="G272" s="101"/>
    </row>
    <row r="273" spans="1:7" ht="32.450000000000003" customHeight="1" x14ac:dyDescent="0.2">
      <c r="A273" s="70">
        <v>26</v>
      </c>
      <c r="B273" s="71" t="str">
        <f>B269</f>
        <v xml:space="preserve">Wizja w terenie 
Projekt </v>
      </c>
      <c r="C273" s="2" t="s">
        <v>164</v>
      </c>
      <c r="D273" s="72" t="s">
        <v>25</v>
      </c>
      <c r="E273" s="77">
        <f>982.2+38.1+804.3</f>
        <v>1824.6</v>
      </c>
      <c r="F273" s="79"/>
      <c r="G273" s="96">
        <f>ROUND(E273*F273,2)</f>
        <v>0</v>
      </c>
    </row>
    <row r="274" spans="1:7" ht="127.9" customHeight="1" x14ac:dyDescent="0.2">
      <c r="A274" s="70"/>
      <c r="B274" s="71"/>
      <c r="C274" s="1" t="s">
        <v>236</v>
      </c>
      <c r="D274" s="104"/>
      <c r="E274" s="105"/>
      <c r="F274" s="106"/>
      <c r="G274" s="97"/>
    </row>
    <row r="275" spans="1:7" ht="34.9" customHeight="1" x14ac:dyDescent="0.2">
      <c r="A275" s="70">
        <v>27</v>
      </c>
      <c r="B275" s="71" t="str">
        <f>B273</f>
        <v xml:space="preserve">Wizja w terenie 
Projekt </v>
      </c>
      <c r="C275" s="2" t="s">
        <v>163</v>
      </c>
      <c r="D275" s="72" t="s">
        <v>25</v>
      </c>
      <c r="E275" s="77">
        <f>E260</f>
        <v>177.05</v>
      </c>
      <c r="F275" s="79"/>
      <c r="G275" s="96">
        <f>ROUND(E275*F275,2)</f>
        <v>0</v>
      </c>
    </row>
    <row r="276" spans="1:7" ht="93" customHeight="1" x14ac:dyDescent="0.2">
      <c r="A276" s="70"/>
      <c r="B276" s="71"/>
      <c r="C276" s="1" t="s">
        <v>237</v>
      </c>
      <c r="D276" s="104"/>
      <c r="E276" s="105"/>
      <c r="F276" s="106"/>
      <c r="G276" s="97"/>
    </row>
    <row r="277" spans="1:7" ht="33" customHeight="1" x14ac:dyDescent="0.2">
      <c r="A277" s="67" t="s">
        <v>50</v>
      </c>
      <c r="B277" s="68"/>
      <c r="C277" s="68"/>
      <c r="D277" s="68"/>
      <c r="E277" s="68"/>
      <c r="F277" s="68"/>
      <c r="G277" s="101"/>
    </row>
    <row r="278" spans="1:7" ht="37.15" customHeight="1" x14ac:dyDescent="0.2">
      <c r="A278" s="83">
        <v>28</v>
      </c>
      <c r="B278" s="75" t="str">
        <f>B269</f>
        <v xml:space="preserve">Wizja w terenie 
Projekt </v>
      </c>
      <c r="C278" s="2" t="s">
        <v>238</v>
      </c>
      <c r="D278" s="85" t="s">
        <v>25</v>
      </c>
      <c r="E278" s="77">
        <f>E235</f>
        <v>3624.5200000000004</v>
      </c>
      <c r="F278" s="113"/>
      <c r="G278" s="81">
        <f>ROUND(F278*E278,2)</f>
        <v>0</v>
      </c>
    </row>
    <row r="279" spans="1:7" ht="40.9" customHeight="1" x14ac:dyDescent="0.2">
      <c r="A279" s="110"/>
      <c r="B279" s="111"/>
      <c r="C279" s="1" t="s">
        <v>266</v>
      </c>
      <c r="D279" s="112"/>
      <c r="E279" s="105"/>
      <c r="F279" s="114"/>
      <c r="G279" s="82"/>
    </row>
    <row r="280" spans="1:7" ht="24" customHeight="1" thickBot="1" x14ac:dyDescent="0.25">
      <c r="A280" s="110"/>
      <c r="B280" s="111"/>
      <c r="C280" s="1" t="s">
        <v>267</v>
      </c>
      <c r="D280" s="112"/>
      <c r="E280" s="105"/>
      <c r="F280" s="3"/>
      <c r="G280" s="43">
        <f>ROUND(F280*E278,2)</f>
        <v>0</v>
      </c>
    </row>
    <row r="281" spans="1:7" ht="27.6" customHeight="1" thickBot="1" x14ac:dyDescent="0.25">
      <c r="A281" s="107" t="s">
        <v>19</v>
      </c>
      <c r="B281" s="108"/>
      <c r="C281" s="108"/>
      <c r="D281" s="108"/>
      <c r="E281" s="108"/>
      <c r="F281" s="109"/>
      <c r="G281" s="15">
        <f>SUM(G280+G278+G275+G273)</f>
        <v>0</v>
      </c>
    </row>
    <row r="282" spans="1:7" ht="30" customHeight="1" x14ac:dyDescent="0.2">
      <c r="A282" s="67" t="s">
        <v>51</v>
      </c>
      <c r="B282" s="68"/>
      <c r="C282" s="68"/>
      <c r="D282" s="68"/>
      <c r="E282" s="68"/>
      <c r="F282" s="68"/>
      <c r="G282" s="101"/>
    </row>
    <row r="283" spans="1:7" ht="42.6" customHeight="1" x14ac:dyDescent="0.2">
      <c r="A283" s="70">
        <v>29</v>
      </c>
      <c r="B283" s="71" t="str">
        <f>B278</f>
        <v xml:space="preserve">Wizja w terenie 
Projekt </v>
      </c>
      <c r="C283" s="2" t="s">
        <v>150</v>
      </c>
      <c r="D283" s="115" t="s">
        <v>10</v>
      </c>
      <c r="E283" s="73">
        <f>178.8+33+217.5+46.6+26.5+129-7*8-8.3-9+(547.65-105)-8*2-12-7-9</f>
        <v>956.75000000000011</v>
      </c>
      <c r="F283" s="74"/>
      <c r="G283" s="103">
        <f>ROUND(E283*F283,2)</f>
        <v>0</v>
      </c>
    </row>
    <row r="284" spans="1:7" ht="82.9" customHeight="1" x14ac:dyDescent="0.2">
      <c r="A284" s="70"/>
      <c r="B284" s="71"/>
      <c r="C284" s="1" t="s">
        <v>165</v>
      </c>
      <c r="D284" s="115"/>
      <c r="E284" s="73"/>
      <c r="F284" s="74"/>
      <c r="G284" s="103"/>
    </row>
    <row r="285" spans="1:7" ht="37.15" customHeight="1" x14ac:dyDescent="0.2">
      <c r="A285" s="70">
        <v>30</v>
      </c>
      <c r="B285" s="71" t="str">
        <f>B283</f>
        <v xml:space="preserve">Wizja w terenie 
Projekt </v>
      </c>
      <c r="C285" s="2" t="s">
        <v>151</v>
      </c>
      <c r="D285" s="115" t="s">
        <v>10</v>
      </c>
      <c r="E285" s="73">
        <f>8*7+8.3+9+43</f>
        <v>116.3</v>
      </c>
      <c r="F285" s="74"/>
      <c r="G285" s="103">
        <f>ROUND(E285*F285,2)</f>
        <v>0</v>
      </c>
    </row>
    <row r="286" spans="1:7" ht="81" customHeight="1" x14ac:dyDescent="0.2">
      <c r="A286" s="70"/>
      <c r="B286" s="71"/>
      <c r="C286" s="1" t="s">
        <v>239</v>
      </c>
      <c r="D286" s="115"/>
      <c r="E286" s="73"/>
      <c r="F286" s="74"/>
      <c r="G286" s="103"/>
    </row>
    <row r="287" spans="1:7" ht="28.9" customHeight="1" x14ac:dyDescent="0.2">
      <c r="A287" s="70">
        <v>31</v>
      </c>
      <c r="B287" s="71" t="str">
        <f>B285</f>
        <v xml:space="preserve">Wizja w terenie 
Projekt </v>
      </c>
      <c r="C287" s="2" t="s">
        <v>153</v>
      </c>
      <c r="D287" s="115" t="s">
        <v>10</v>
      </c>
      <c r="E287" s="73">
        <v>56</v>
      </c>
      <c r="F287" s="74"/>
      <c r="G287" s="103">
        <f>ROUND(E287*F287,2)</f>
        <v>0</v>
      </c>
    </row>
    <row r="288" spans="1:7" ht="37.9" customHeight="1" x14ac:dyDescent="0.2">
      <c r="A288" s="70"/>
      <c r="B288" s="71"/>
      <c r="C288" s="1" t="s">
        <v>240</v>
      </c>
      <c r="D288" s="115"/>
      <c r="E288" s="73"/>
      <c r="F288" s="74"/>
      <c r="G288" s="103"/>
    </row>
    <row r="289" spans="1:9" ht="28.15" customHeight="1" x14ac:dyDescent="0.2">
      <c r="A289" s="70">
        <v>32</v>
      </c>
      <c r="B289" s="71" t="str">
        <f>B285</f>
        <v xml:space="preserve">Wizja w terenie 
Projekt </v>
      </c>
      <c r="C289" s="2" t="s">
        <v>152</v>
      </c>
      <c r="D289" s="115" t="s">
        <v>10</v>
      </c>
      <c r="E289" s="73">
        <f>547.5-105-5-3-5.5-2+5+155.5</f>
        <v>587.5</v>
      </c>
      <c r="F289" s="74"/>
      <c r="G289" s="103">
        <f t="shared" ref="G289" si="41">ROUND(E289*F289,2)</f>
        <v>0</v>
      </c>
    </row>
    <row r="290" spans="1:9" ht="84" customHeight="1" thickBot="1" x14ac:dyDescent="0.25">
      <c r="A290" s="70"/>
      <c r="B290" s="71"/>
      <c r="C290" s="1" t="s">
        <v>257</v>
      </c>
      <c r="D290" s="115"/>
      <c r="E290" s="73"/>
      <c r="F290" s="74"/>
      <c r="G290" s="103"/>
    </row>
    <row r="291" spans="1:9" ht="26.45" customHeight="1" thickBot="1" x14ac:dyDescent="0.25">
      <c r="A291" s="107" t="s">
        <v>1</v>
      </c>
      <c r="B291" s="108"/>
      <c r="C291" s="108"/>
      <c r="D291" s="108"/>
      <c r="E291" s="108"/>
      <c r="F291" s="109"/>
      <c r="G291" s="15">
        <f>SUM(G283:G290)</f>
        <v>0</v>
      </c>
    </row>
    <row r="292" spans="1:9" ht="31.15" customHeight="1" x14ac:dyDescent="0.2">
      <c r="A292" s="116" t="s">
        <v>52</v>
      </c>
      <c r="B292" s="117"/>
      <c r="C292" s="117"/>
      <c r="D292" s="117"/>
      <c r="E292" s="117"/>
      <c r="F292" s="117"/>
      <c r="G292" s="118"/>
    </row>
    <row r="293" spans="1:9" x14ac:dyDescent="0.2">
      <c r="A293" s="119">
        <v>33</v>
      </c>
      <c r="B293" s="120" t="str">
        <f>B285</f>
        <v xml:space="preserve">Wizja w terenie 
Projekt </v>
      </c>
      <c r="C293" s="7" t="s">
        <v>104</v>
      </c>
      <c r="D293" s="138" t="s">
        <v>30</v>
      </c>
      <c r="E293" s="140">
        <v>1</v>
      </c>
      <c r="F293" s="141"/>
      <c r="G293" s="103">
        <f t="shared" ref="G293" si="42">ROUND(E293*F293,2)</f>
        <v>0</v>
      </c>
    </row>
    <row r="294" spans="1:9" ht="30" customHeight="1" thickBot="1" x14ac:dyDescent="0.25">
      <c r="A294" s="119"/>
      <c r="B294" s="120"/>
      <c r="C294" s="8" t="s">
        <v>16</v>
      </c>
      <c r="D294" s="139"/>
      <c r="E294" s="140"/>
      <c r="F294" s="142"/>
      <c r="G294" s="103"/>
    </row>
    <row r="295" spans="1:9" ht="30.6" customHeight="1" thickBot="1" x14ac:dyDescent="0.25">
      <c r="A295" s="143" t="s">
        <v>0</v>
      </c>
      <c r="B295" s="144"/>
      <c r="C295" s="144"/>
      <c r="D295" s="144"/>
      <c r="E295" s="144"/>
      <c r="F295" s="145"/>
      <c r="G295" s="20">
        <f>G293</f>
        <v>0</v>
      </c>
    </row>
    <row r="296" spans="1:9" ht="43.15" customHeight="1" x14ac:dyDescent="0.2">
      <c r="A296" s="146" t="s">
        <v>136</v>
      </c>
      <c r="B296" s="147"/>
      <c r="C296" s="147"/>
      <c r="D296" s="147"/>
      <c r="E296" s="147"/>
      <c r="F296" s="148"/>
      <c r="G296" s="12">
        <f>G295+G291+G281+G271+G251</f>
        <v>0</v>
      </c>
    </row>
    <row r="297" spans="1:9" ht="32.450000000000003" customHeight="1" thickBot="1" x14ac:dyDescent="0.25">
      <c r="A297" s="146" t="s">
        <v>135</v>
      </c>
      <c r="B297" s="147"/>
      <c r="C297" s="147"/>
      <c r="D297" s="147"/>
      <c r="E297" s="147"/>
      <c r="F297" s="148"/>
      <c r="G297" s="21">
        <f>G296*0.23</f>
        <v>0</v>
      </c>
    </row>
    <row r="298" spans="1:9" ht="29.45" customHeight="1" thickBot="1" x14ac:dyDescent="0.4">
      <c r="A298" s="149" t="s">
        <v>134</v>
      </c>
      <c r="B298" s="150"/>
      <c r="C298" s="150"/>
      <c r="D298" s="150"/>
      <c r="E298" s="150"/>
      <c r="F298" s="150"/>
      <c r="G298" s="22">
        <f>G296*1.23</f>
        <v>0</v>
      </c>
      <c r="I298" s="51"/>
    </row>
    <row r="299" spans="1:9" ht="38.450000000000003" customHeight="1" thickBot="1" x14ac:dyDescent="0.25"/>
    <row r="300" spans="1:9" ht="39.6" customHeight="1" x14ac:dyDescent="0.2">
      <c r="A300" s="159" t="s">
        <v>167</v>
      </c>
      <c r="B300" s="160"/>
      <c r="C300" s="160"/>
      <c r="D300" s="160"/>
      <c r="E300" s="160"/>
      <c r="F300" s="160"/>
      <c r="G300" s="161"/>
    </row>
    <row r="301" spans="1:9" ht="41.45" customHeight="1" x14ac:dyDescent="0.2">
      <c r="A301" s="162" t="s">
        <v>168</v>
      </c>
      <c r="B301" s="163"/>
      <c r="C301" s="163"/>
      <c r="D301" s="163"/>
      <c r="E301" s="163"/>
      <c r="F301" s="164">
        <f>G153</f>
        <v>0</v>
      </c>
      <c r="G301" s="165"/>
    </row>
    <row r="302" spans="1:9" ht="39.6" customHeight="1" x14ac:dyDescent="0.2">
      <c r="A302" s="162" t="s">
        <v>258</v>
      </c>
      <c r="B302" s="163"/>
      <c r="C302" s="163"/>
      <c r="D302" s="163"/>
      <c r="E302" s="163"/>
      <c r="F302" s="164">
        <f>G209</f>
        <v>0</v>
      </c>
      <c r="G302" s="165"/>
    </row>
    <row r="303" spans="1:9" ht="39.6" customHeight="1" x14ac:dyDescent="0.2">
      <c r="A303" s="162" t="s">
        <v>259</v>
      </c>
      <c r="B303" s="163"/>
      <c r="C303" s="163"/>
      <c r="D303" s="163"/>
      <c r="E303" s="163"/>
      <c r="F303" s="164">
        <f>G296</f>
        <v>0</v>
      </c>
      <c r="G303" s="165"/>
      <c r="I303" s="42"/>
    </row>
    <row r="304" spans="1:9" ht="38.450000000000003" customHeight="1" x14ac:dyDescent="0.2">
      <c r="A304" s="166" t="s">
        <v>169</v>
      </c>
      <c r="B304" s="167"/>
      <c r="C304" s="167"/>
      <c r="D304" s="167"/>
      <c r="E304" s="167"/>
      <c r="F304" s="168">
        <f>F301+F302+F303</f>
        <v>0</v>
      </c>
      <c r="G304" s="169">
        <f>G300+G296+G286+G276+G256</f>
        <v>0</v>
      </c>
      <c r="I304" s="50"/>
    </row>
    <row r="305" spans="1:12" ht="39" customHeight="1" x14ac:dyDescent="0.2">
      <c r="A305" s="166" t="s">
        <v>135</v>
      </c>
      <c r="B305" s="167"/>
      <c r="C305" s="167"/>
      <c r="D305" s="167"/>
      <c r="E305" s="167"/>
      <c r="F305" s="168">
        <f>F304*0.23</f>
        <v>0</v>
      </c>
      <c r="G305" s="169">
        <f>G304*0.23</f>
        <v>0</v>
      </c>
    </row>
    <row r="306" spans="1:12" ht="39.6" customHeight="1" thickBot="1" x14ac:dyDescent="0.4">
      <c r="A306" s="170" t="s">
        <v>170</v>
      </c>
      <c r="B306" s="171"/>
      <c r="C306" s="171"/>
      <c r="D306" s="171"/>
      <c r="E306" s="171"/>
      <c r="F306" s="172">
        <f>F304*1.23</f>
        <v>0</v>
      </c>
      <c r="G306" s="173">
        <f>G304*1.23</f>
        <v>0</v>
      </c>
      <c r="I306" s="52"/>
      <c r="J306" s="51"/>
      <c r="K306" s="51"/>
      <c r="L306" s="51"/>
    </row>
    <row r="308" spans="1:12" ht="15.6" customHeight="1" x14ac:dyDescent="0.25">
      <c r="B308" s="57"/>
      <c r="C308" s="174"/>
      <c r="D308" s="174"/>
      <c r="E308" s="174"/>
      <c r="F308" s="174"/>
    </row>
  </sheetData>
  <mergeCells count="737">
    <mergeCell ref="A305:E305"/>
    <mergeCell ref="F305:G305"/>
    <mergeCell ref="A306:E306"/>
    <mergeCell ref="F306:G306"/>
    <mergeCell ref="C308:F308"/>
    <mergeCell ref="A302:E302"/>
    <mergeCell ref="F302:G302"/>
    <mergeCell ref="A303:E303"/>
    <mergeCell ref="F303:G303"/>
    <mergeCell ref="A304:E304"/>
    <mergeCell ref="F304:G304"/>
    <mergeCell ref="A295:F295"/>
    <mergeCell ref="A296:F296"/>
    <mergeCell ref="A297:F297"/>
    <mergeCell ref="A298:F298"/>
    <mergeCell ref="A300:G300"/>
    <mergeCell ref="A301:E301"/>
    <mergeCell ref="F301:G301"/>
    <mergeCell ref="A291:F291"/>
    <mergeCell ref="A292:G292"/>
    <mergeCell ref="A293:A294"/>
    <mergeCell ref="B293:B294"/>
    <mergeCell ref="D293:D294"/>
    <mergeCell ref="E293:E294"/>
    <mergeCell ref="F293:F294"/>
    <mergeCell ref="G293:G294"/>
    <mergeCell ref="A289:A290"/>
    <mergeCell ref="B289:B290"/>
    <mergeCell ref="D289:D290"/>
    <mergeCell ref="E289:E290"/>
    <mergeCell ref="F289:F290"/>
    <mergeCell ref="G289:G290"/>
    <mergeCell ref="A287:A288"/>
    <mergeCell ref="B287:B288"/>
    <mergeCell ref="D287:D288"/>
    <mergeCell ref="E287:E288"/>
    <mergeCell ref="F287:F288"/>
    <mergeCell ref="G287:G288"/>
    <mergeCell ref="A285:A286"/>
    <mergeCell ref="B285:B286"/>
    <mergeCell ref="D285:D286"/>
    <mergeCell ref="E285:E286"/>
    <mergeCell ref="F285:F286"/>
    <mergeCell ref="G285:G286"/>
    <mergeCell ref="A281:F281"/>
    <mergeCell ref="A282:G282"/>
    <mergeCell ref="A283:A284"/>
    <mergeCell ref="B283:B284"/>
    <mergeCell ref="D283:D284"/>
    <mergeCell ref="E283:E284"/>
    <mergeCell ref="F283:F284"/>
    <mergeCell ref="G283:G284"/>
    <mergeCell ref="A277:G277"/>
    <mergeCell ref="A278:A280"/>
    <mergeCell ref="B278:B280"/>
    <mergeCell ref="D278:D280"/>
    <mergeCell ref="E278:E280"/>
    <mergeCell ref="F278:F279"/>
    <mergeCell ref="G278:G279"/>
    <mergeCell ref="A275:A276"/>
    <mergeCell ref="B275:B276"/>
    <mergeCell ref="D275:D276"/>
    <mergeCell ref="E275:E276"/>
    <mergeCell ref="F275:F276"/>
    <mergeCell ref="G275:G276"/>
    <mergeCell ref="A271:F271"/>
    <mergeCell ref="A272:G272"/>
    <mergeCell ref="A273:A274"/>
    <mergeCell ref="B273:B274"/>
    <mergeCell ref="D273:D274"/>
    <mergeCell ref="E273:E274"/>
    <mergeCell ref="F273:F274"/>
    <mergeCell ref="G273:G274"/>
    <mergeCell ref="A268:G268"/>
    <mergeCell ref="A269:A270"/>
    <mergeCell ref="B269:B270"/>
    <mergeCell ref="D269:D270"/>
    <mergeCell ref="E269:E270"/>
    <mergeCell ref="F269:F270"/>
    <mergeCell ref="G269:G270"/>
    <mergeCell ref="A266:A267"/>
    <mergeCell ref="B266:B267"/>
    <mergeCell ref="D266:D267"/>
    <mergeCell ref="E266:E267"/>
    <mergeCell ref="F266:F267"/>
    <mergeCell ref="G266:G267"/>
    <mergeCell ref="A264:A265"/>
    <mergeCell ref="B264:B265"/>
    <mergeCell ref="D264:D265"/>
    <mergeCell ref="E264:E265"/>
    <mergeCell ref="F264:F265"/>
    <mergeCell ref="G264:G265"/>
    <mergeCell ref="A262:A263"/>
    <mergeCell ref="B262:B263"/>
    <mergeCell ref="D262:D263"/>
    <mergeCell ref="E262:E263"/>
    <mergeCell ref="F262:F263"/>
    <mergeCell ref="G262:G263"/>
    <mergeCell ref="A260:A261"/>
    <mergeCell ref="B260:B261"/>
    <mergeCell ref="D260:D261"/>
    <mergeCell ref="E260:E261"/>
    <mergeCell ref="F260:F261"/>
    <mergeCell ref="G260:G261"/>
    <mergeCell ref="A257:G257"/>
    <mergeCell ref="A258:A259"/>
    <mergeCell ref="B258:B259"/>
    <mergeCell ref="D258:D259"/>
    <mergeCell ref="E258:E259"/>
    <mergeCell ref="F258:F259"/>
    <mergeCell ref="G258:G259"/>
    <mergeCell ref="A255:A256"/>
    <mergeCell ref="B255:B256"/>
    <mergeCell ref="D255:D256"/>
    <mergeCell ref="E255:E256"/>
    <mergeCell ref="F255:F256"/>
    <mergeCell ref="G255:G256"/>
    <mergeCell ref="A251:F251"/>
    <mergeCell ref="A252:G252"/>
    <mergeCell ref="A253:A254"/>
    <mergeCell ref="B253:B254"/>
    <mergeCell ref="D253:D254"/>
    <mergeCell ref="E253:E254"/>
    <mergeCell ref="F253:F254"/>
    <mergeCell ref="G253:G254"/>
    <mergeCell ref="A249:A250"/>
    <mergeCell ref="B249:B250"/>
    <mergeCell ref="D249:D250"/>
    <mergeCell ref="E249:E250"/>
    <mergeCell ref="F249:F250"/>
    <mergeCell ref="G249:G250"/>
    <mergeCell ref="A247:A248"/>
    <mergeCell ref="B247:B248"/>
    <mergeCell ref="D247:D248"/>
    <mergeCell ref="E247:E248"/>
    <mergeCell ref="F247:F248"/>
    <mergeCell ref="G247:G248"/>
    <mergeCell ref="A245:A246"/>
    <mergeCell ref="B245:B246"/>
    <mergeCell ref="D245:D246"/>
    <mergeCell ref="E245:E246"/>
    <mergeCell ref="F245:F246"/>
    <mergeCell ref="G245:G246"/>
    <mergeCell ref="A243:A244"/>
    <mergeCell ref="B243:B244"/>
    <mergeCell ref="D243:D244"/>
    <mergeCell ref="E243:E244"/>
    <mergeCell ref="F243:F244"/>
    <mergeCell ref="G243:G244"/>
    <mergeCell ref="A241:A242"/>
    <mergeCell ref="B241:B242"/>
    <mergeCell ref="D241:D242"/>
    <mergeCell ref="E241:E242"/>
    <mergeCell ref="F241:F242"/>
    <mergeCell ref="G241:G242"/>
    <mergeCell ref="A239:A240"/>
    <mergeCell ref="B239:B240"/>
    <mergeCell ref="D239:D240"/>
    <mergeCell ref="E239:E240"/>
    <mergeCell ref="F239:F240"/>
    <mergeCell ref="G239:G240"/>
    <mergeCell ref="A237:A238"/>
    <mergeCell ref="B237:B238"/>
    <mergeCell ref="D237:D238"/>
    <mergeCell ref="E237:E238"/>
    <mergeCell ref="F237:F238"/>
    <mergeCell ref="G237:G238"/>
    <mergeCell ref="A235:A236"/>
    <mergeCell ref="B235:B236"/>
    <mergeCell ref="D235:D236"/>
    <mergeCell ref="E235:E236"/>
    <mergeCell ref="F235:F236"/>
    <mergeCell ref="G235:G236"/>
    <mergeCell ref="A233:A234"/>
    <mergeCell ref="B233:B234"/>
    <mergeCell ref="D233:D234"/>
    <mergeCell ref="E233:E234"/>
    <mergeCell ref="F233:F234"/>
    <mergeCell ref="G233:G234"/>
    <mergeCell ref="A231:A232"/>
    <mergeCell ref="B231:B232"/>
    <mergeCell ref="D231:D232"/>
    <mergeCell ref="E231:E232"/>
    <mergeCell ref="F231:F232"/>
    <mergeCell ref="G231:G232"/>
    <mergeCell ref="A229:A230"/>
    <mergeCell ref="B229:B230"/>
    <mergeCell ref="D229:D230"/>
    <mergeCell ref="E229:E230"/>
    <mergeCell ref="F229:F230"/>
    <mergeCell ref="G229:G230"/>
    <mergeCell ref="A227:A228"/>
    <mergeCell ref="B227:B228"/>
    <mergeCell ref="D227:D228"/>
    <mergeCell ref="E227:E228"/>
    <mergeCell ref="F227:F228"/>
    <mergeCell ref="G227:G228"/>
    <mergeCell ref="A225:A226"/>
    <mergeCell ref="B225:B226"/>
    <mergeCell ref="D225:D226"/>
    <mergeCell ref="E225:E226"/>
    <mergeCell ref="F225:F226"/>
    <mergeCell ref="G225:G226"/>
    <mergeCell ref="A223:A224"/>
    <mergeCell ref="B223:B224"/>
    <mergeCell ref="D223:D224"/>
    <mergeCell ref="E223:E224"/>
    <mergeCell ref="F223:F224"/>
    <mergeCell ref="G223:G224"/>
    <mergeCell ref="A215:G215"/>
    <mergeCell ref="A217:G217"/>
    <mergeCell ref="A220:G220"/>
    <mergeCell ref="A221:A222"/>
    <mergeCell ref="B221:B222"/>
    <mergeCell ref="D221:D222"/>
    <mergeCell ref="E221:E222"/>
    <mergeCell ref="F221:F222"/>
    <mergeCell ref="G221:G222"/>
    <mergeCell ref="A208:F208"/>
    <mergeCell ref="A209:F209"/>
    <mergeCell ref="A210:F210"/>
    <mergeCell ref="A211:F211"/>
    <mergeCell ref="A214:G214"/>
    <mergeCell ref="A204:F204"/>
    <mergeCell ref="A205:G205"/>
    <mergeCell ref="A206:A207"/>
    <mergeCell ref="B206:B207"/>
    <mergeCell ref="D206:D207"/>
    <mergeCell ref="E206:E207"/>
    <mergeCell ref="F206:F207"/>
    <mergeCell ref="G206:G207"/>
    <mergeCell ref="A202:A203"/>
    <mergeCell ref="B202:B203"/>
    <mergeCell ref="D202:D203"/>
    <mergeCell ref="E202:E203"/>
    <mergeCell ref="F202:F203"/>
    <mergeCell ref="G202:G203"/>
    <mergeCell ref="A198:F198"/>
    <mergeCell ref="A199:G199"/>
    <mergeCell ref="A200:A201"/>
    <mergeCell ref="B200:B201"/>
    <mergeCell ref="D200:D201"/>
    <mergeCell ref="E200:E201"/>
    <mergeCell ref="F200:F201"/>
    <mergeCell ref="G200:G201"/>
    <mergeCell ref="A194:F194"/>
    <mergeCell ref="A195:G195"/>
    <mergeCell ref="A196:A197"/>
    <mergeCell ref="B196:B197"/>
    <mergeCell ref="D196:D197"/>
    <mergeCell ref="E196:E197"/>
    <mergeCell ref="F196:F197"/>
    <mergeCell ref="G196:G197"/>
    <mergeCell ref="A192:A193"/>
    <mergeCell ref="B192:B193"/>
    <mergeCell ref="D192:D193"/>
    <mergeCell ref="E192:E193"/>
    <mergeCell ref="F192:F193"/>
    <mergeCell ref="G192:G193"/>
    <mergeCell ref="A190:A191"/>
    <mergeCell ref="B190:B191"/>
    <mergeCell ref="D190:D191"/>
    <mergeCell ref="E190:E191"/>
    <mergeCell ref="F190:F191"/>
    <mergeCell ref="G190:G191"/>
    <mergeCell ref="A188:A189"/>
    <mergeCell ref="B188:B189"/>
    <mergeCell ref="D188:D189"/>
    <mergeCell ref="E188:E189"/>
    <mergeCell ref="F188:F189"/>
    <mergeCell ref="G188:G189"/>
    <mergeCell ref="A185:G185"/>
    <mergeCell ref="A186:A187"/>
    <mergeCell ref="B186:B187"/>
    <mergeCell ref="D186:D187"/>
    <mergeCell ref="E186:E187"/>
    <mergeCell ref="F186:F187"/>
    <mergeCell ref="G186:G187"/>
    <mergeCell ref="A183:A184"/>
    <mergeCell ref="B183:B184"/>
    <mergeCell ref="D183:D184"/>
    <mergeCell ref="E183:E184"/>
    <mergeCell ref="F183:F184"/>
    <mergeCell ref="G183:G184"/>
    <mergeCell ref="A179:F179"/>
    <mergeCell ref="A180:G180"/>
    <mergeCell ref="A181:A182"/>
    <mergeCell ref="B181:B182"/>
    <mergeCell ref="D181:D182"/>
    <mergeCell ref="E181:E182"/>
    <mergeCell ref="F181:F182"/>
    <mergeCell ref="G181:G182"/>
    <mergeCell ref="A177:A178"/>
    <mergeCell ref="B177:B178"/>
    <mergeCell ref="D177:D178"/>
    <mergeCell ref="E177:E178"/>
    <mergeCell ref="F177:F178"/>
    <mergeCell ref="G177:G178"/>
    <mergeCell ref="A175:A176"/>
    <mergeCell ref="B175:B176"/>
    <mergeCell ref="D175:D176"/>
    <mergeCell ref="E175:E176"/>
    <mergeCell ref="F175:F176"/>
    <mergeCell ref="G175:G176"/>
    <mergeCell ref="A173:A174"/>
    <mergeCell ref="B173:B174"/>
    <mergeCell ref="D173:D174"/>
    <mergeCell ref="E173:E174"/>
    <mergeCell ref="F173:F174"/>
    <mergeCell ref="G173:G174"/>
    <mergeCell ref="A171:A172"/>
    <mergeCell ref="B171:B172"/>
    <mergeCell ref="D171:D172"/>
    <mergeCell ref="E171:E172"/>
    <mergeCell ref="F171:F172"/>
    <mergeCell ref="G171:G172"/>
    <mergeCell ref="A169:A170"/>
    <mergeCell ref="B169:B170"/>
    <mergeCell ref="D169:D170"/>
    <mergeCell ref="E169:E170"/>
    <mergeCell ref="F169:F170"/>
    <mergeCell ref="G169:G170"/>
    <mergeCell ref="A167:A168"/>
    <mergeCell ref="B167:B168"/>
    <mergeCell ref="D167:D168"/>
    <mergeCell ref="E167:E168"/>
    <mergeCell ref="F167:F168"/>
    <mergeCell ref="G167:G168"/>
    <mergeCell ref="A161:G161"/>
    <mergeCell ref="A164:G164"/>
    <mergeCell ref="A165:A166"/>
    <mergeCell ref="B165:B166"/>
    <mergeCell ref="D165:D166"/>
    <mergeCell ref="E165:E166"/>
    <mergeCell ref="F165:F166"/>
    <mergeCell ref="G165:G166"/>
    <mergeCell ref="A152:F152"/>
    <mergeCell ref="A153:F153"/>
    <mergeCell ref="A154:F154"/>
    <mergeCell ref="A155:F155"/>
    <mergeCell ref="A158:G158"/>
    <mergeCell ref="A159:G159"/>
    <mergeCell ref="A150:A151"/>
    <mergeCell ref="B150:B151"/>
    <mergeCell ref="D150:D151"/>
    <mergeCell ref="E150:E151"/>
    <mergeCell ref="F150:F151"/>
    <mergeCell ref="G150:G151"/>
    <mergeCell ref="A148:A149"/>
    <mergeCell ref="B148:B149"/>
    <mergeCell ref="D148:D149"/>
    <mergeCell ref="E148:E149"/>
    <mergeCell ref="F148:F149"/>
    <mergeCell ref="G148:G149"/>
    <mergeCell ref="A146:A147"/>
    <mergeCell ref="B146:B147"/>
    <mergeCell ref="D146:D147"/>
    <mergeCell ref="E146:E147"/>
    <mergeCell ref="F146:F147"/>
    <mergeCell ref="G146:G147"/>
    <mergeCell ref="A142:F142"/>
    <mergeCell ref="A143:G143"/>
    <mergeCell ref="A144:A145"/>
    <mergeCell ref="B144:B145"/>
    <mergeCell ref="D144:D145"/>
    <mergeCell ref="E144:E145"/>
    <mergeCell ref="F144:F145"/>
    <mergeCell ref="G144:G145"/>
    <mergeCell ref="A140:A141"/>
    <mergeCell ref="B140:B141"/>
    <mergeCell ref="D140:D141"/>
    <mergeCell ref="E140:E141"/>
    <mergeCell ref="F140:F141"/>
    <mergeCell ref="G140:G141"/>
    <mergeCell ref="A138:A139"/>
    <mergeCell ref="B138:B139"/>
    <mergeCell ref="D138:D139"/>
    <mergeCell ref="E138:E139"/>
    <mergeCell ref="F138:F139"/>
    <mergeCell ref="G138:G139"/>
    <mergeCell ref="A136:A137"/>
    <mergeCell ref="B136:B137"/>
    <mergeCell ref="D136:D137"/>
    <mergeCell ref="E136:E137"/>
    <mergeCell ref="F136:F137"/>
    <mergeCell ref="G136:G137"/>
    <mergeCell ref="A132:F132"/>
    <mergeCell ref="A133:G133"/>
    <mergeCell ref="A134:A135"/>
    <mergeCell ref="B134:B135"/>
    <mergeCell ref="D134:D135"/>
    <mergeCell ref="E134:E135"/>
    <mergeCell ref="F134:F135"/>
    <mergeCell ref="G134:G135"/>
    <mergeCell ref="A129:A131"/>
    <mergeCell ref="B129:B131"/>
    <mergeCell ref="D129:D131"/>
    <mergeCell ref="E129:E131"/>
    <mergeCell ref="F129:F130"/>
    <mergeCell ref="G129:G130"/>
    <mergeCell ref="A125:G125"/>
    <mergeCell ref="A126:A128"/>
    <mergeCell ref="B126:B128"/>
    <mergeCell ref="D126:D128"/>
    <mergeCell ref="E126:E128"/>
    <mergeCell ref="F126:F127"/>
    <mergeCell ref="G126:G127"/>
    <mergeCell ref="A123:A124"/>
    <mergeCell ref="B123:B124"/>
    <mergeCell ref="D123:D124"/>
    <mergeCell ref="E123:E124"/>
    <mergeCell ref="F123:F124"/>
    <mergeCell ref="G123:G124"/>
    <mergeCell ref="A120:A122"/>
    <mergeCell ref="B120:B122"/>
    <mergeCell ref="D120:D122"/>
    <mergeCell ref="E120:E122"/>
    <mergeCell ref="F120:F121"/>
    <mergeCell ref="G120:G121"/>
    <mergeCell ref="A116:G116"/>
    <mergeCell ref="A117:A119"/>
    <mergeCell ref="B117:B119"/>
    <mergeCell ref="D117:D119"/>
    <mergeCell ref="E117:E119"/>
    <mergeCell ref="F117:F118"/>
    <mergeCell ref="G117:G118"/>
    <mergeCell ref="A114:A115"/>
    <mergeCell ref="B114:B115"/>
    <mergeCell ref="D114:D115"/>
    <mergeCell ref="E114:E115"/>
    <mergeCell ref="F114:F115"/>
    <mergeCell ref="G114:G115"/>
    <mergeCell ref="A110:F110"/>
    <mergeCell ref="A111:G111"/>
    <mergeCell ref="A112:A113"/>
    <mergeCell ref="B112:B113"/>
    <mergeCell ref="D112:D113"/>
    <mergeCell ref="E112:E113"/>
    <mergeCell ref="F112:F113"/>
    <mergeCell ref="G112:G113"/>
    <mergeCell ref="A108:A109"/>
    <mergeCell ref="B108:B109"/>
    <mergeCell ref="D108:D109"/>
    <mergeCell ref="E108:E109"/>
    <mergeCell ref="F108:F109"/>
    <mergeCell ref="G108:G109"/>
    <mergeCell ref="A105:G105"/>
    <mergeCell ref="A106:A107"/>
    <mergeCell ref="B106:B107"/>
    <mergeCell ref="D106:D107"/>
    <mergeCell ref="E106:E107"/>
    <mergeCell ref="F106:F107"/>
    <mergeCell ref="G106:G107"/>
    <mergeCell ref="A102:G102"/>
    <mergeCell ref="A103:A104"/>
    <mergeCell ref="B103:B104"/>
    <mergeCell ref="D103:D104"/>
    <mergeCell ref="E103:E104"/>
    <mergeCell ref="F103:F104"/>
    <mergeCell ref="G103:G104"/>
    <mergeCell ref="A100:A101"/>
    <mergeCell ref="B100:B101"/>
    <mergeCell ref="D100:D101"/>
    <mergeCell ref="E100:E101"/>
    <mergeCell ref="F100:F101"/>
    <mergeCell ref="G100:G101"/>
    <mergeCell ref="A98:A99"/>
    <mergeCell ref="B98:B99"/>
    <mergeCell ref="D98:D99"/>
    <mergeCell ref="E98:E99"/>
    <mergeCell ref="F98:F99"/>
    <mergeCell ref="G98:G99"/>
    <mergeCell ref="A95:G95"/>
    <mergeCell ref="A96:A97"/>
    <mergeCell ref="B96:B97"/>
    <mergeCell ref="D96:D97"/>
    <mergeCell ref="E96:E97"/>
    <mergeCell ref="F96:F97"/>
    <mergeCell ref="G96:G97"/>
    <mergeCell ref="A93:A94"/>
    <mergeCell ref="B93:B94"/>
    <mergeCell ref="D93:D94"/>
    <mergeCell ref="E93:E94"/>
    <mergeCell ref="F93:F94"/>
    <mergeCell ref="G93:G94"/>
    <mergeCell ref="A91:A92"/>
    <mergeCell ref="B91:B92"/>
    <mergeCell ref="D91:D92"/>
    <mergeCell ref="E91:E92"/>
    <mergeCell ref="F91:F92"/>
    <mergeCell ref="G91:G92"/>
    <mergeCell ref="A87:F87"/>
    <mergeCell ref="A88:G88"/>
    <mergeCell ref="A89:A90"/>
    <mergeCell ref="B89:B90"/>
    <mergeCell ref="D89:D90"/>
    <mergeCell ref="E89:E90"/>
    <mergeCell ref="F89:F90"/>
    <mergeCell ref="G89:G90"/>
    <mergeCell ref="A85:A86"/>
    <mergeCell ref="B85:B86"/>
    <mergeCell ref="D85:D86"/>
    <mergeCell ref="E85:E86"/>
    <mergeCell ref="F85:F86"/>
    <mergeCell ref="G85:G86"/>
    <mergeCell ref="A83:A84"/>
    <mergeCell ref="B83:B84"/>
    <mergeCell ref="D83:D84"/>
    <mergeCell ref="E83:E84"/>
    <mergeCell ref="F83:F84"/>
    <mergeCell ref="G83:G84"/>
    <mergeCell ref="A81:A82"/>
    <mergeCell ref="B81:B82"/>
    <mergeCell ref="D81:D82"/>
    <mergeCell ref="E81:E82"/>
    <mergeCell ref="F81:F82"/>
    <mergeCell ref="G81:G82"/>
    <mergeCell ref="A79:A80"/>
    <mergeCell ref="B79:B80"/>
    <mergeCell ref="D79:D80"/>
    <mergeCell ref="E79:E80"/>
    <mergeCell ref="F79:F80"/>
    <mergeCell ref="G79:G80"/>
    <mergeCell ref="A77:A78"/>
    <mergeCell ref="B77:B78"/>
    <mergeCell ref="D77:D78"/>
    <mergeCell ref="E77:E78"/>
    <mergeCell ref="F77:F78"/>
    <mergeCell ref="G77:G78"/>
    <mergeCell ref="A75:A76"/>
    <mergeCell ref="B75:B76"/>
    <mergeCell ref="D75:D76"/>
    <mergeCell ref="E75:E76"/>
    <mergeCell ref="F75:F76"/>
    <mergeCell ref="G75:G76"/>
    <mergeCell ref="A73:A74"/>
    <mergeCell ref="B73:B74"/>
    <mergeCell ref="D73:D74"/>
    <mergeCell ref="E73:E74"/>
    <mergeCell ref="F73:F74"/>
    <mergeCell ref="G73:G74"/>
    <mergeCell ref="A71:A72"/>
    <mergeCell ref="B71:B72"/>
    <mergeCell ref="D71:D72"/>
    <mergeCell ref="E71:E72"/>
    <mergeCell ref="F71:F72"/>
    <mergeCell ref="G71:G72"/>
    <mergeCell ref="A67:F67"/>
    <mergeCell ref="A68:G68"/>
    <mergeCell ref="A69:A70"/>
    <mergeCell ref="B69:B70"/>
    <mergeCell ref="D69:D70"/>
    <mergeCell ref="E69:E70"/>
    <mergeCell ref="F69:F70"/>
    <mergeCell ref="G69:G70"/>
    <mergeCell ref="A65:A66"/>
    <mergeCell ref="B65:B66"/>
    <mergeCell ref="D65:D66"/>
    <mergeCell ref="E65:E66"/>
    <mergeCell ref="F65:F66"/>
    <mergeCell ref="G65:G66"/>
    <mergeCell ref="A63:A64"/>
    <mergeCell ref="B63:B64"/>
    <mergeCell ref="D63:D64"/>
    <mergeCell ref="E63:E64"/>
    <mergeCell ref="F63:F64"/>
    <mergeCell ref="G63:G64"/>
    <mergeCell ref="A61:A62"/>
    <mergeCell ref="B61:B62"/>
    <mergeCell ref="D61:D62"/>
    <mergeCell ref="E61:E62"/>
    <mergeCell ref="F61:F62"/>
    <mergeCell ref="G61:G62"/>
    <mergeCell ref="A59:A60"/>
    <mergeCell ref="B59:B60"/>
    <mergeCell ref="D59:D60"/>
    <mergeCell ref="E59:E60"/>
    <mergeCell ref="F59:F60"/>
    <mergeCell ref="G59:G60"/>
    <mergeCell ref="A57:A58"/>
    <mergeCell ref="B57:B58"/>
    <mergeCell ref="D57:D58"/>
    <mergeCell ref="E57:E58"/>
    <mergeCell ref="F57:F58"/>
    <mergeCell ref="G57:G58"/>
    <mergeCell ref="A55:A56"/>
    <mergeCell ref="B55:B56"/>
    <mergeCell ref="D55:D56"/>
    <mergeCell ref="E55:E56"/>
    <mergeCell ref="F55:F56"/>
    <mergeCell ref="G55:G56"/>
    <mergeCell ref="A53:A54"/>
    <mergeCell ref="B53:B54"/>
    <mergeCell ref="D53:D54"/>
    <mergeCell ref="E53:E54"/>
    <mergeCell ref="F53:F54"/>
    <mergeCell ref="G53:G54"/>
    <mergeCell ref="A51:A52"/>
    <mergeCell ref="B51:B52"/>
    <mergeCell ref="D51:D52"/>
    <mergeCell ref="E51:E52"/>
    <mergeCell ref="F51:F52"/>
    <mergeCell ref="G51:G52"/>
    <mergeCell ref="A49:A50"/>
    <mergeCell ref="B49:B50"/>
    <mergeCell ref="D49:D50"/>
    <mergeCell ref="E49:E50"/>
    <mergeCell ref="F49:F50"/>
    <mergeCell ref="G49:G50"/>
    <mergeCell ref="A47:A48"/>
    <mergeCell ref="B47:B48"/>
    <mergeCell ref="D47:D48"/>
    <mergeCell ref="E47:E48"/>
    <mergeCell ref="F47:F48"/>
    <mergeCell ref="G47:G48"/>
    <mergeCell ref="A45:A46"/>
    <mergeCell ref="B45:B46"/>
    <mergeCell ref="D45:D46"/>
    <mergeCell ref="E45:E46"/>
    <mergeCell ref="F45:F46"/>
    <mergeCell ref="G45:G46"/>
    <mergeCell ref="A43:A44"/>
    <mergeCell ref="B43:B44"/>
    <mergeCell ref="D43:D44"/>
    <mergeCell ref="E43:E44"/>
    <mergeCell ref="F43:F44"/>
    <mergeCell ref="G43:G44"/>
    <mergeCell ref="A41:A42"/>
    <mergeCell ref="B41:B42"/>
    <mergeCell ref="D41:D42"/>
    <mergeCell ref="E41:E42"/>
    <mergeCell ref="F41:F42"/>
    <mergeCell ref="G41:G42"/>
    <mergeCell ref="A39:A40"/>
    <mergeCell ref="B39:B40"/>
    <mergeCell ref="D39:D40"/>
    <mergeCell ref="E39:E40"/>
    <mergeCell ref="F39:F40"/>
    <mergeCell ref="G39:G40"/>
    <mergeCell ref="A37:A38"/>
    <mergeCell ref="B37:B38"/>
    <mergeCell ref="D37:D38"/>
    <mergeCell ref="E37:E38"/>
    <mergeCell ref="F37:F38"/>
    <mergeCell ref="G37:G38"/>
    <mergeCell ref="A35:A36"/>
    <mergeCell ref="B35:B36"/>
    <mergeCell ref="D35:D36"/>
    <mergeCell ref="E35:E36"/>
    <mergeCell ref="F35:F36"/>
    <mergeCell ref="G35:G36"/>
    <mergeCell ref="A33:A34"/>
    <mergeCell ref="B33:B34"/>
    <mergeCell ref="D33:D34"/>
    <mergeCell ref="E33:E34"/>
    <mergeCell ref="F33:F34"/>
    <mergeCell ref="G33:G34"/>
    <mergeCell ref="A31:A32"/>
    <mergeCell ref="B31:B32"/>
    <mergeCell ref="D31:D32"/>
    <mergeCell ref="E31:E32"/>
    <mergeCell ref="F31:F32"/>
    <mergeCell ref="G31:G32"/>
    <mergeCell ref="A29:A30"/>
    <mergeCell ref="B29:B30"/>
    <mergeCell ref="D29:D30"/>
    <mergeCell ref="E29:E30"/>
    <mergeCell ref="F29:F30"/>
    <mergeCell ref="G29:G30"/>
    <mergeCell ref="A27:A28"/>
    <mergeCell ref="B27:B28"/>
    <mergeCell ref="D27:D28"/>
    <mergeCell ref="E27:E28"/>
    <mergeCell ref="F27:F28"/>
    <mergeCell ref="G27:G28"/>
    <mergeCell ref="G23:G24"/>
    <mergeCell ref="A25:A26"/>
    <mergeCell ref="B25:B26"/>
    <mergeCell ref="D25:D26"/>
    <mergeCell ref="E25:E26"/>
    <mergeCell ref="F25:F26"/>
    <mergeCell ref="G25:G26"/>
    <mergeCell ref="A23:A24"/>
    <mergeCell ref="B23:B24"/>
    <mergeCell ref="C23:C24"/>
    <mergeCell ref="D23:D24"/>
    <mergeCell ref="E23:E24"/>
    <mergeCell ref="F23:F24"/>
    <mergeCell ref="A21:A22"/>
    <mergeCell ref="B21:B22"/>
    <mergeCell ref="D21:D22"/>
    <mergeCell ref="E21:E22"/>
    <mergeCell ref="F21:F22"/>
    <mergeCell ref="G21:G22"/>
    <mergeCell ref="A19:A20"/>
    <mergeCell ref="B19:B20"/>
    <mergeCell ref="D19:D20"/>
    <mergeCell ref="E19:E20"/>
    <mergeCell ref="F19:F20"/>
    <mergeCell ref="G19:G20"/>
    <mergeCell ref="G11:G12"/>
    <mergeCell ref="A17:A18"/>
    <mergeCell ref="B17:B18"/>
    <mergeCell ref="D17:D18"/>
    <mergeCell ref="E17:E18"/>
    <mergeCell ref="F17:F18"/>
    <mergeCell ref="G17:G18"/>
    <mergeCell ref="A15:A16"/>
    <mergeCell ref="B15:B16"/>
    <mergeCell ref="D15:D16"/>
    <mergeCell ref="E15:E16"/>
    <mergeCell ref="F15:F16"/>
    <mergeCell ref="G15:G16"/>
    <mergeCell ref="A1:G1"/>
    <mergeCell ref="A157:G157"/>
    <mergeCell ref="A213:G213"/>
    <mergeCell ref="A2:G2"/>
    <mergeCell ref="A3:G3"/>
    <mergeCell ref="A5:G5"/>
    <mergeCell ref="A8:G8"/>
    <mergeCell ref="A9:A10"/>
    <mergeCell ref="B9:B10"/>
    <mergeCell ref="D9:D10"/>
    <mergeCell ref="E9:E10"/>
    <mergeCell ref="F9:F10"/>
    <mergeCell ref="A13:A14"/>
    <mergeCell ref="B13:B14"/>
    <mergeCell ref="D13:D14"/>
    <mergeCell ref="E13:E14"/>
    <mergeCell ref="F13:F14"/>
    <mergeCell ref="G13:G14"/>
    <mergeCell ref="G9:G10"/>
    <mergeCell ref="A11:A12"/>
    <mergeCell ref="B11:B12"/>
    <mergeCell ref="D11:D12"/>
    <mergeCell ref="E11:E12"/>
    <mergeCell ref="F11:F12"/>
  </mergeCells>
  <pageMargins left="0.55118110236220474" right="0.11811023622047245" top="0.48" bottom="0.4" header="0.15748031496062992" footer="0.16"/>
  <pageSetup paperSize="9" scale="60" firstPageNumber="0" orientation="landscape" horizontalDpi="300" verticalDpi="300" r:id="rId1"/>
  <headerFooter alignWithMargins="0">
    <oddHeader>&amp;CStrona &amp;P z 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L42"/>
  <sheetViews>
    <sheetView zoomScale="60" zoomScaleNormal="60" workbookViewId="0">
      <selection activeCell="I30" sqref="I30"/>
    </sheetView>
  </sheetViews>
  <sheetFormatPr defaultColWidth="9.140625" defaultRowHeight="15" x14ac:dyDescent="0.2"/>
  <cols>
    <col min="1" max="1" width="6.7109375" style="6" customWidth="1"/>
    <col min="2" max="2" width="24.140625" style="9" customWidth="1"/>
    <col min="3" max="3" width="84.7109375" style="6" customWidth="1"/>
    <col min="4" max="4" width="11.85546875" style="9" customWidth="1"/>
    <col min="5" max="5" width="15.42578125" style="10" customWidth="1"/>
    <col min="6" max="6" width="0.5703125" style="11" customWidth="1"/>
    <col min="7" max="7" width="19" style="6" customWidth="1"/>
    <col min="8" max="8" width="15.7109375" style="6" bestFit="1" customWidth="1"/>
    <col min="9" max="9" width="19.7109375" style="6" customWidth="1"/>
    <col min="10" max="16384" width="9.140625" style="6"/>
  </cols>
  <sheetData>
    <row r="1" spans="1:9" s="4" customFormat="1" ht="97.9" customHeight="1" thickBot="1" x14ac:dyDescent="0.25">
      <c r="A1" s="227" t="s">
        <v>281</v>
      </c>
      <c r="B1" s="228"/>
      <c r="C1" s="228"/>
      <c r="D1" s="228"/>
      <c r="E1" s="228"/>
      <c r="F1" s="228"/>
      <c r="G1" s="229"/>
    </row>
    <row r="2" spans="1:9" s="4" customFormat="1" ht="23.25" x14ac:dyDescent="0.2">
      <c r="A2" s="218" t="s">
        <v>38</v>
      </c>
      <c r="B2" s="219"/>
      <c r="C2" s="220"/>
      <c r="D2" s="203"/>
      <c r="E2" s="203"/>
      <c r="F2" s="203"/>
      <c r="G2" s="204"/>
    </row>
    <row r="3" spans="1:9" s="4" customFormat="1" ht="31.15" customHeight="1" x14ac:dyDescent="0.2">
      <c r="A3" s="213" t="s">
        <v>37</v>
      </c>
      <c r="B3" s="214"/>
      <c r="C3" s="215"/>
      <c r="D3" s="216"/>
      <c r="E3" s="216"/>
      <c r="F3" s="216"/>
      <c r="G3" s="217"/>
    </row>
    <row r="4" spans="1:9" s="4" customFormat="1" ht="23.25" x14ac:dyDescent="0.2">
      <c r="A4" s="213" t="s">
        <v>36</v>
      </c>
      <c r="B4" s="214"/>
      <c r="C4" s="215"/>
      <c r="D4" s="216"/>
      <c r="E4" s="216"/>
      <c r="F4" s="216"/>
      <c r="G4" s="217"/>
    </row>
    <row r="5" spans="1:9" s="4" customFormat="1" ht="23.25" x14ac:dyDescent="0.2">
      <c r="A5" s="213" t="s">
        <v>39</v>
      </c>
      <c r="B5" s="214"/>
      <c r="C5" s="215"/>
      <c r="D5" s="216"/>
      <c r="E5" s="216"/>
      <c r="F5" s="216"/>
      <c r="G5" s="217"/>
    </row>
    <row r="6" spans="1:9" s="4" customFormat="1" ht="23.25" x14ac:dyDescent="0.2">
      <c r="A6" s="213" t="s">
        <v>40</v>
      </c>
      <c r="B6" s="214"/>
      <c r="C6" s="215"/>
      <c r="D6" s="216"/>
      <c r="E6" s="216"/>
      <c r="F6" s="216"/>
      <c r="G6" s="217"/>
    </row>
    <row r="7" spans="1:9" ht="33.6" customHeight="1" thickBot="1" x14ac:dyDescent="0.25">
      <c r="A7" s="195" t="s">
        <v>41</v>
      </c>
      <c r="B7" s="196"/>
      <c r="C7" s="197"/>
      <c r="D7" s="198"/>
      <c r="E7" s="198"/>
      <c r="F7" s="198"/>
      <c r="G7" s="199"/>
      <c r="H7" s="5"/>
      <c r="I7" s="5"/>
    </row>
    <row r="8" spans="1:9" s="4" customFormat="1" ht="22.9" customHeight="1" x14ac:dyDescent="0.2">
      <c r="A8" s="200" t="s">
        <v>35</v>
      </c>
      <c r="B8" s="201"/>
      <c r="C8" s="201"/>
      <c r="D8" s="202">
        <f>SUM(D2,D3,D4,D5,D6,D7)</f>
        <v>0</v>
      </c>
      <c r="E8" s="203"/>
      <c r="F8" s="203"/>
      <c r="G8" s="204"/>
    </row>
    <row r="9" spans="1:9" s="4" customFormat="1" ht="22.9" customHeight="1" thickBot="1" x14ac:dyDescent="0.25">
      <c r="A9" s="146" t="s">
        <v>12</v>
      </c>
      <c r="B9" s="147"/>
      <c r="C9" s="147"/>
      <c r="D9" s="230">
        <f>D8*0.23</f>
        <v>0</v>
      </c>
      <c r="E9" s="198"/>
      <c r="F9" s="198"/>
      <c r="G9" s="199"/>
    </row>
    <row r="10" spans="1:9" s="4" customFormat="1" ht="23.45" customHeight="1" thickBot="1" x14ac:dyDescent="0.25">
      <c r="A10" s="146" t="s">
        <v>260</v>
      </c>
      <c r="B10" s="147"/>
      <c r="C10" s="147"/>
      <c r="D10" s="231">
        <f>D8*1.23</f>
        <v>0</v>
      </c>
      <c r="E10" s="232"/>
      <c r="F10" s="232"/>
      <c r="G10" s="233"/>
    </row>
    <row r="11" spans="1:9" ht="15.75" thickBot="1" x14ac:dyDescent="0.25"/>
    <row r="12" spans="1:9" ht="147.75" customHeight="1" thickBot="1" x14ac:dyDescent="0.25">
      <c r="A12" s="234" t="s">
        <v>282</v>
      </c>
      <c r="B12" s="228"/>
      <c r="C12" s="228"/>
      <c r="D12" s="228"/>
      <c r="E12" s="228"/>
      <c r="F12" s="228"/>
      <c r="G12" s="229"/>
    </row>
    <row r="13" spans="1:9" s="17" customFormat="1" ht="23.25" x14ac:dyDescent="0.2">
      <c r="A13" s="218" t="s">
        <v>38</v>
      </c>
      <c r="B13" s="219"/>
      <c r="C13" s="220"/>
      <c r="D13" s="203"/>
      <c r="E13" s="203"/>
      <c r="F13" s="203"/>
      <c r="G13" s="204"/>
    </row>
    <row r="14" spans="1:9" s="17" customFormat="1" ht="23.25" x14ac:dyDescent="0.2">
      <c r="A14" s="213" t="s">
        <v>36</v>
      </c>
      <c r="B14" s="214"/>
      <c r="C14" s="215"/>
      <c r="D14" s="216"/>
      <c r="E14" s="216"/>
      <c r="F14" s="216"/>
      <c r="G14" s="217"/>
    </row>
    <row r="15" spans="1:9" s="17" customFormat="1" ht="23.25" x14ac:dyDescent="0.2">
      <c r="A15" s="213" t="s">
        <v>39</v>
      </c>
      <c r="B15" s="214"/>
      <c r="C15" s="215"/>
      <c r="D15" s="216"/>
      <c r="E15" s="216"/>
      <c r="F15" s="216"/>
      <c r="G15" s="217"/>
    </row>
    <row r="16" spans="1:9" s="17" customFormat="1" ht="23.25" x14ac:dyDescent="0.2">
      <c r="A16" s="213" t="s">
        <v>40</v>
      </c>
      <c r="B16" s="214"/>
      <c r="C16" s="215"/>
      <c r="D16" s="216"/>
      <c r="E16" s="216"/>
      <c r="F16" s="216"/>
      <c r="G16" s="217"/>
    </row>
    <row r="17" spans="1:7" s="17" customFormat="1" ht="24" thickBot="1" x14ac:dyDescent="0.25">
      <c r="A17" s="195" t="s">
        <v>41</v>
      </c>
      <c r="B17" s="196"/>
      <c r="C17" s="197"/>
      <c r="D17" s="198"/>
      <c r="E17" s="198"/>
      <c r="F17" s="198"/>
      <c r="G17" s="199"/>
    </row>
    <row r="18" spans="1:7" ht="22.9" customHeight="1" x14ac:dyDescent="0.2">
      <c r="A18" s="200" t="s">
        <v>35</v>
      </c>
      <c r="B18" s="201"/>
      <c r="C18" s="201"/>
      <c r="D18" s="221">
        <f>SUM(D13+D14+D15+D16+D17)</f>
        <v>0</v>
      </c>
      <c r="E18" s="222"/>
      <c r="F18" s="222"/>
      <c r="G18" s="223"/>
    </row>
    <row r="19" spans="1:7" ht="22.9" customHeight="1" thickBot="1" x14ac:dyDescent="0.25">
      <c r="A19" s="146" t="s">
        <v>12</v>
      </c>
      <c r="B19" s="147"/>
      <c r="C19" s="147"/>
      <c r="D19" s="224">
        <f>D18*0.23</f>
        <v>0</v>
      </c>
      <c r="E19" s="225"/>
      <c r="F19" s="225"/>
      <c r="G19" s="226"/>
    </row>
    <row r="20" spans="1:7" ht="23.45" customHeight="1" thickBot="1" x14ac:dyDescent="0.25">
      <c r="A20" s="146" t="s">
        <v>271</v>
      </c>
      <c r="B20" s="147"/>
      <c r="C20" s="147"/>
      <c r="D20" s="208">
        <f>D18*1.23</f>
        <v>0</v>
      </c>
      <c r="E20" s="209"/>
      <c r="F20" s="209"/>
      <c r="G20" s="210"/>
    </row>
    <row r="21" spans="1:7" ht="25.9" customHeight="1" thickBot="1" x14ac:dyDescent="0.25"/>
    <row r="22" spans="1:7" ht="114.75" customHeight="1" thickBot="1" x14ac:dyDescent="0.25">
      <c r="A22" s="227" t="s">
        <v>283</v>
      </c>
      <c r="B22" s="228"/>
      <c r="C22" s="228"/>
      <c r="D22" s="228"/>
      <c r="E22" s="228"/>
      <c r="F22" s="228"/>
      <c r="G22" s="229"/>
    </row>
    <row r="23" spans="1:7" ht="23.25" x14ac:dyDescent="0.2">
      <c r="A23" s="218" t="s">
        <v>38</v>
      </c>
      <c r="B23" s="219"/>
      <c r="C23" s="220"/>
      <c r="D23" s="203"/>
      <c r="E23" s="203"/>
      <c r="F23" s="203"/>
      <c r="G23" s="204"/>
    </row>
    <row r="24" spans="1:7" ht="23.25" x14ac:dyDescent="0.2">
      <c r="A24" s="213" t="s">
        <v>36</v>
      </c>
      <c r="B24" s="214"/>
      <c r="C24" s="215"/>
      <c r="D24" s="216"/>
      <c r="E24" s="216"/>
      <c r="F24" s="216"/>
      <c r="G24" s="217"/>
    </row>
    <row r="25" spans="1:7" ht="23.25" x14ac:dyDescent="0.2">
      <c r="A25" s="213" t="s">
        <v>39</v>
      </c>
      <c r="B25" s="214"/>
      <c r="C25" s="215"/>
      <c r="D25" s="216"/>
      <c r="E25" s="216"/>
      <c r="F25" s="216"/>
      <c r="G25" s="217"/>
    </row>
    <row r="26" spans="1:7" ht="23.25" x14ac:dyDescent="0.2">
      <c r="A26" s="213" t="s">
        <v>40</v>
      </c>
      <c r="B26" s="214"/>
      <c r="C26" s="215"/>
      <c r="D26" s="216"/>
      <c r="E26" s="216"/>
      <c r="F26" s="216"/>
      <c r="G26" s="217"/>
    </row>
    <row r="27" spans="1:7" ht="24" thickBot="1" x14ac:dyDescent="0.25">
      <c r="A27" s="195" t="s">
        <v>41</v>
      </c>
      <c r="B27" s="196"/>
      <c r="C27" s="197"/>
      <c r="D27" s="198"/>
      <c r="E27" s="198"/>
      <c r="F27" s="198"/>
      <c r="G27" s="199"/>
    </row>
    <row r="28" spans="1:7" ht="22.9" customHeight="1" x14ac:dyDescent="0.2">
      <c r="A28" s="200" t="s">
        <v>35</v>
      </c>
      <c r="B28" s="201"/>
      <c r="C28" s="201"/>
      <c r="D28" s="202">
        <f>D23+D24+D25+D26+D27</f>
        <v>0</v>
      </c>
      <c r="E28" s="203"/>
      <c r="F28" s="203"/>
      <c r="G28" s="204"/>
    </row>
    <row r="29" spans="1:7" ht="22.9" customHeight="1" thickBot="1" x14ac:dyDescent="0.25">
      <c r="A29" s="146" t="s">
        <v>12</v>
      </c>
      <c r="B29" s="147"/>
      <c r="C29" s="147"/>
      <c r="D29" s="205">
        <f>D28*0.23</f>
        <v>0</v>
      </c>
      <c r="E29" s="206"/>
      <c r="F29" s="206"/>
      <c r="G29" s="207"/>
    </row>
    <row r="30" spans="1:7" ht="28.15" customHeight="1" thickBot="1" x14ac:dyDescent="0.25">
      <c r="A30" s="146" t="s">
        <v>272</v>
      </c>
      <c r="B30" s="147"/>
      <c r="C30" s="147"/>
      <c r="D30" s="208">
        <f>D28*1.23</f>
        <v>0</v>
      </c>
      <c r="E30" s="209"/>
      <c r="F30" s="209"/>
      <c r="G30" s="210"/>
    </row>
    <row r="31" spans="1:7" ht="15.75" thickBot="1" x14ac:dyDescent="0.25"/>
    <row r="32" spans="1:7" s="17" customFormat="1" ht="36.6" customHeight="1" thickBot="1" x14ac:dyDescent="0.25">
      <c r="A32" s="159" t="s">
        <v>167</v>
      </c>
      <c r="B32" s="160"/>
      <c r="C32" s="160"/>
      <c r="D32" s="211"/>
      <c r="E32" s="211"/>
      <c r="F32" s="211"/>
      <c r="G32" s="212"/>
    </row>
    <row r="33" spans="1:12" s="17" customFormat="1" ht="33" customHeight="1" x14ac:dyDescent="0.2">
      <c r="A33" s="182" t="s">
        <v>168</v>
      </c>
      <c r="B33" s="183"/>
      <c r="C33" s="183"/>
      <c r="D33" s="189">
        <f>D8</f>
        <v>0</v>
      </c>
      <c r="E33" s="190"/>
      <c r="F33" s="190"/>
      <c r="G33" s="191"/>
    </row>
    <row r="34" spans="1:12" s="17" customFormat="1" ht="27" customHeight="1" x14ac:dyDescent="0.2">
      <c r="A34" s="182" t="s">
        <v>258</v>
      </c>
      <c r="B34" s="183"/>
      <c r="C34" s="183"/>
      <c r="D34" s="192">
        <f>D18</f>
        <v>0</v>
      </c>
      <c r="E34" s="193"/>
      <c r="F34" s="193"/>
      <c r="G34" s="194"/>
    </row>
    <row r="35" spans="1:12" s="17" customFormat="1" ht="31.9" customHeight="1" thickBot="1" x14ac:dyDescent="0.25">
      <c r="A35" s="182" t="s">
        <v>259</v>
      </c>
      <c r="B35" s="183"/>
      <c r="C35" s="183"/>
      <c r="D35" s="184">
        <f>D28</f>
        <v>0</v>
      </c>
      <c r="E35" s="185"/>
      <c r="F35" s="185"/>
      <c r="G35" s="186"/>
      <c r="I35" s="42"/>
    </row>
    <row r="36" spans="1:12" s="17" customFormat="1" ht="29.45" customHeight="1" x14ac:dyDescent="0.2">
      <c r="A36" s="187" t="s">
        <v>169</v>
      </c>
      <c r="B36" s="188"/>
      <c r="C36" s="188"/>
      <c r="D36" s="189">
        <f>D33+D34+D35</f>
        <v>0</v>
      </c>
      <c r="E36" s="190"/>
      <c r="F36" s="190"/>
      <c r="G36" s="191"/>
      <c r="I36" s="50"/>
    </row>
    <row r="37" spans="1:12" s="17" customFormat="1" ht="33" customHeight="1" thickBot="1" x14ac:dyDescent="0.25">
      <c r="A37" s="187" t="s">
        <v>135</v>
      </c>
      <c r="B37" s="188"/>
      <c r="C37" s="188"/>
      <c r="D37" s="192">
        <f>D36*0.23</f>
        <v>0</v>
      </c>
      <c r="E37" s="193"/>
      <c r="F37" s="193"/>
      <c r="G37" s="194"/>
    </row>
    <row r="38" spans="1:12" s="17" customFormat="1" ht="31.9" customHeight="1" thickBot="1" x14ac:dyDescent="0.4">
      <c r="A38" s="175" t="s">
        <v>170</v>
      </c>
      <c r="B38" s="176"/>
      <c r="C38" s="176"/>
      <c r="D38" s="177">
        <f>D36+D37</f>
        <v>0</v>
      </c>
      <c r="E38" s="178"/>
      <c r="F38" s="178"/>
      <c r="G38" s="179"/>
      <c r="I38" s="180">
        <f>(D34+D35)*1.23</f>
        <v>0</v>
      </c>
      <c r="J38" s="180"/>
      <c r="K38" s="180"/>
      <c r="L38" s="180"/>
    </row>
    <row r="39" spans="1:12" s="17" customFormat="1" x14ac:dyDescent="0.2">
      <c r="B39" s="19"/>
      <c r="D39" s="19"/>
      <c r="E39" s="10"/>
      <c r="F39" s="16"/>
    </row>
    <row r="40" spans="1:12" s="17" customFormat="1" ht="16.899999999999999" customHeight="1" x14ac:dyDescent="0.2">
      <c r="B40" s="19" t="s">
        <v>13</v>
      </c>
      <c r="C40" s="181"/>
      <c r="D40" s="181"/>
      <c r="E40" s="181"/>
      <c r="F40" s="181"/>
      <c r="G40" s="181"/>
    </row>
    <row r="41" spans="1:12" x14ac:dyDescent="0.2">
      <c r="B41" s="19" t="s">
        <v>273</v>
      </c>
    </row>
    <row r="42" spans="1:12" x14ac:dyDescent="0.2">
      <c r="G42" s="55"/>
    </row>
  </sheetData>
  <mergeCells count="68">
    <mergeCell ref="A4:C4"/>
    <mergeCell ref="D4:G4"/>
    <mergeCell ref="A1:G1"/>
    <mergeCell ref="A2:C2"/>
    <mergeCell ref="D2:G2"/>
    <mergeCell ref="A3:C3"/>
    <mergeCell ref="D3:G3"/>
    <mergeCell ref="A5:C5"/>
    <mergeCell ref="D5:G5"/>
    <mergeCell ref="A6:C6"/>
    <mergeCell ref="D6:G6"/>
    <mergeCell ref="A7:C7"/>
    <mergeCell ref="D7:G7"/>
    <mergeCell ref="A15:C15"/>
    <mergeCell ref="D15:G15"/>
    <mergeCell ref="A8:C8"/>
    <mergeCell ref="D8:G8"/>
    <mergeCell ref="A9:C9"/>
    <mergeCell ref="D9:G9"/>
    <mergeCell ref="A10:C10"/>
    <mergeCell ref="D10:G10"/>
    <mergeCell ref="A12:G12"/>
    <mergeCell ref="A13:C13"/>
    <mergeCell ref="D13:G13"/>
    <mergeCell ref="A14:C14"/>
    <mergeCell ref="D14:G14"/>
    <mergeCell ref="A23:C23"/>
    <mergeCell ref="D23:G23"/>
    <mergeCell ref="A16:C16"/>
    <mergeCell ref="D16:G16"/>
    <mergeCell ref="A17:C17"/>
    <mergeCell ref="D17:G17"/>
    <mergeCell ref="A18:C18"/>
    <mergeCell ref="D18:G18"/>
    <mergeCell ref="A19:C19"/>
    <mergeCell ref="D19:G19"/>
    <mergeCell ref="A20:C20"/>
    <mergeCell ref="D20:G20"/>
    <mergeCell ref="A22:G22"/>
    <mergeCell ref="A24:C24"/>
    <mergeCell ref="D24:G24"/>
    <mergeCell ref="A25:C25"/>
    <mergeCell ref="D25:G25"/>
    <mergeCell ref="A26:C26"/>
    <mergeCell ref="D26:G26"/>
    <mergeCell ref="A34:C34"/>
    <mergeCell ref="D34:G34"/>
    <mergeCell ref="A27:C27"/>
    <mergeCell ref="D27:G27"/>
    <mergeCell ref="A28:C28"/>
    <mergeCell ref="D28:G28"/>
    <mergeCell ref="A29:C29"/>
    <mergeCell ref="D29:G29"/>
    <mergeCell ref="A30:C30"/>
    <mergeCell ref="D30:G30"/>
    <mergeCell ref="A32:G32"/>
    <mergeCell ref="A33:C33"/>
    <mergeCell ref="D33:G33"/>
    <mergeCell ref="A38:C38"/>
    <mergeCell ref="D38:G38"/>
    <mergeCell ref="I38:L38"/>
    <mergeCell ref="C40:G40"/>
    <mergeCell ref="A35:C35"/>
    <mergeCell ref="D35:G35"/>
    <mergeCell ref="A36:C36"/>
    <mergeCell ref="D36:G36"/>
    <mergeCell ref="A37:C37"/>
    <mergeCell ref="D37:G37"/>
  </mergeCells>
  <pageMargins left="0.28999999999999998" right="0.11811023622047245" top="0.78" bottom="0.43307086614173229" header="0.15748031496062992" footer="0.15748031496062992"/>
  <pageSetup paperSize="9" scale="60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WZÓR  KSZTORYSU  OFERTOWEGO </vt:lpstr>
      <vt:lpstr>TABELA  ELEMENTÓW SCALONYCH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m.jakob</dc:creator>
  <cp:lastModifiedBy>BF</cp:lastModifiedBy>
  <cp:revision>1</cp:revision>
  <cp:lastPrinted>2015-06-03T06:40:12Z</cp:lastPrinted>
  <dcterms:created xsi:type="dcterms:W3CDTF">2009-01-14T20:34:54Z</dcterms:created>
  <dcterms:modified xsi:type="dcterms:W3CDTF">2015-06-03T09:02:57Z</dcterms:modified>
</cp:coreProperties>
</file>